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31" windowWidth="11415" windowHeight="8235" activeTab="0"/>
  </bookViews>
  <sheets>
    <sheet name="Прайс ДСП" sheetId="1" r:id="rId1"/>
    <sheet name="Описание" sheetId="2" r:id="rId2"/>
    <sheet name="Лист1" sheetId="3" r:id="rId3"/>
  </sheets>
  <definedNames>
    <definedName name="_xlnm.Print_Area" localSheetId="1">'Описание'!$A$1:$L$73</definedName>
    <definedName name="_xlnm.Print_Area" localSheetId="0">'Прайс ДСП'!$A$1:$O$361</definedName>
  </definedNames>
  <calcPr fullCalcOnLoad="1"/>
</workbook>
</file>

<file path=xl/sharedStrings.xml><?xml version="1.0" encoding="utf-8"?>
<sst xmlns="http://schemas.openxmlformats.org/spreadsheetml/2006/main" count="1539" uniqueCount="679">
  <si>
    <t>Наименование</t>
  </si>
  <si>
    <t>Вид упаковки</t>
  </si>
  <si>
    <t>Объем,  м3</t>
  </si>
  <si>
    <t>Размер изделия        (ВхШхГ), мм</t>
  </si>
  <si>
    <t>Кол-во мест в изделии</t>
  </si>
  <si>
    <t>Д-323</t>
  </si>
  <si>
    <t>Д-501</t>
  </si>
  <si>
    <t>Д-502</t>
  </si>
  <si>
    <t>Д-509</t>
  </si>
  <si>
    <t>Д-707</t>
  </si>
  <si>
    <t>Д-803</t>
  </si>
  <si>
    <t>Д-808</t>
  </si>
  <si>
    <t>1936х802х350</t>
  </si>
  <si>
    <t>1936х402х350</t>
  </si>
  <si>
    <t>1936х602х350</t>
  </si>
  <si>
    <t>1936х802х500</t>
  </si>
  <si>
    <t>1936х884х690</t>
  </si>
  <si>
    <t>500х802х350</t>
  </si>
  <si>
    <t>500х802х500</t>
  </si>
  <si>
    <t>750х1400х600</t>
  </si>
  <si>
    <t>750х1200х600</t>
  </si>
  <si>
    <t>750х700х700</t>
  </si>
  <si>
    <t>750х1600х700</t>
  </si>
  <si>
    <t>750х1200х700</t>
  </si>
  <si>
    <t>750х1400х900</t>
  </si>
  <si>
    <t>520х850х550</t>
  </si>
  <si>
    <t>665х850х550</t>
  </si>
  <si>
    <t>1936х766х322</t>
  </si>
  <si>
    <t>1186х802х350</t>
  </si>
  <si>
    <t>1965х490х250</t>
  </si>
  <si>
    <t>605х900х450</t>
  </si>
  <si>
    <t>750х700х502</t>
  </si>
  <si>
    <t>800х2032х834</t>
  </si>
  <si>
    <t>640-760х600х500</t>
  </si>
  <si>
    <t>750х1200х500</t>
  </si>
  <si>
    <t>750х600х500</t>
  </si>
  <si>
    <t>640-760х1200х500</t>
  </si>
  <si>
    <t>674х429х498</t>
  </si>
  <si>
    <t>972х429х498</t>
  </si>
  <si>
    <t>750х960х600</t>
  </si>
  <si>
    <t>1 коробка</t>
  </si>
  <si>
    <t>2 коробка</t>
  </si>
  <si>
    <t>картон</t>
  </si>
  <si>
    <t>476х704х350</t>
  </si>
  <si>
    <t>656х1000х550</t>
  </si>
  <si>
    <t>750х754х700</t>
  </si>
  <si>
    <t>750х1400х702</t>
  </si>
  <si>
    <t>750х1200х702</t>
  </si>
  <si>
    <t>1936х802х330</t>
  </si>
  <si>
    <t>1058х766х322</t>
  </si>
  <si>
    <t>1058х606х606</t>
  </si>
  <si>
    <t>1180х937х269</t>
  </si>
  <si>
    <t>120х800х252</t>
  </si>
  <si>
    <t>300х270х450</t>
  </si>
  <si>
    <t>650х404х464</t>
  </si>
  <si>
    <t xml:space="preserve">   750х404х700</t>
  </si>
  <si>
    <t xml:space="preserve">   595х404х464</t>
  </si>
  <si>
    <t>750х404х600</t>
  </si>
  <si>
    <t>605х904х464</t>
  </si>
  <si>
    <t>1788х300х445</t>
  </si>
  <si>
    <t>Школьная мебель</t>
  </si>
  <si>
    <t>стрейч</t>
  </si>
  <si>
    <t>п/э</t>
  </si>
  <si>
    <t>картон, стрейч</t>
  </si>
  <si>
    <t>-</t>
  </si>
  <si>
    <t>680х500х130</t>
  </si>
  <si>
    <t>960х500х120</t>
  </si>
  <si>
    <t>1930х400х90</t>
  </si>
  <si>
    <t>1850х400х40</t>
  </si>
  <si>
    <t>740х410х130</t>
  </si>
  <si>
    <t>1930х410х130</t>
  </si>
  <si>
    <t>1930х510х120</t>
  </si>
  <si>
    <t>1930х680х90</t>
  </si>
  <si>
    <t>1850х400х20</t>
  </si>
  <si>
    <t>1930х390х70</t>
  </si>
  <si>
    <t>1160х400х40</t>
  </si>
  <si>
    <t>810х480х100</t>
  </si>
  <si>
    <t>810х510х100</t>
  </si>
  <si>
    <t>1930х360х90</t>
  </si>
  <si>
    <t>1065х360х90</t>
  </si>
  <si>
    <t>1950х340х90</t>
  </si>
  <si>
    <t>1180х400х110</t>
  </si>
  <si>
    <t>1190х640х55</t>
  </si>
  <si>
    <t>1910х260х100</t>
  </si>
  <si>
    <t>780х260х40</t>
  </si>
  <si>
    <t>220х800х250</t>
  </si>
  <si>
    <t>1480х610х90</t>
  </si>
  <si>
    <t>1210х740х50</t>
  </si>
  <si>
    <t>1260х620х90</t>
  </si>
  <si>
    <t>1020х740х70</t>
  </si>
  <si>
    <t>1055х650х60</t>
  </si>
  <si>
    <t>710х760х75</t>
  </si>
  <si>
    <t>1610х740х60</t>
  </si>
  <si>
    <t>1200х740х60</t>
  </si>
  <si>
    <t>1460х930х50</t>
  </si>
  <si>
    <t>1360х1360х50</t>
  </si>
  <si>
    <t>740х480х110</t>
  </si>
  <si>
    <t>740х510х110</t>
  </si>
  <si>
    <t>1410х740х55</t>
  </si>
  <si>
    <t>1400х740х55</t>
  </si>
  <si>
    <t>1200х740х55</t>
  </si>
  <si>
    <t>780х580х100</t>
  </si>
  <si>
    <t>1280х585х60</t>
  </si>
  <si>
    <t>1610х710х95</t>
  </si>
  <si>
    <t>1376х380х60</t>
  </si>
  <si>
    <t>710х710х95</t>
  </si>
  <si>
    <t>1040х380х60</t>
  </si>
  <si>
    <t>750х1300х800</t>
  </si>
  <si>
    <t>750х1600х800</t>
  </si>
  <si>
    <t>750х2200х800</t>
  </si>
  <si>
    <t>1310х810х30</t>
  </si>
  <si>
    <t>1610х810х30</t>
  </si>
  <si>
    <t>2210х810х30</t>
  </si>
  <si>
    <t>850х510х30</t>
  </si>
  <si>
    <t>850х560х30</t>
  </si>
  <si>
    <t>22х700х700</t>
  </si>
  <si>
    <t>22х600х600</t>
  </si>
  <si>
    <t>530х280х60</t>
  </si>
  <si>
    <t>920х500х100</t>
  </si>
  <si>
    <t>429х404х464</t>
  </si>
  <si>
    <t>480х420х130</t>
  </si>
  <si>
    <t>595х404х464</t>
  </si>
  <si>
    <t>500х450х155</t>
  </si>
  <si>
    <t>580х470х140</t>
  </si>
  <si>
    <t>750х580х130</t>
  </si>
  <si>
    <t>520х420х130</t>
  </si>
  <si>
    <t>740х52х130</t>
  </si>
  <si>
    <t>740х520х120</t>
  </si>
  <si>
    <t>910х520х140</t>
  </si>
  <si>
    <t>150х2000х800</t>
  </si>
  <si>
    <t>1930х350х90</t>
  </si>
  <si>
    <t>715х410х110</t>
  </si>
  <si>
    <t>830х340х115</t>
  </si>
  <si>
    <t>1090х615х40</t>
  </si>
  <si>
    <t>1410х150х80</t>
  </si>
  <si>
    <t>610х510х85</t>
  </si>
  <si>
    <t>1210х510х90</t>
  </si>
  <si>
    <t>740х510х95</t>
  </si>
  <si>
    <t>640х600х500</t>
  </si>
  <si>
    <t>460х310х60</t>
  </si>
  <si>
    <t>22х600х500</t>
  </si>
  <si>
    <t>16х600х500</t>
  </si>
  <si>
    <t>22х700х600</t>
  </si>
  <si>
    <t>22х1600х800</t>
  </si>
  <si>
    <t>16х502х502</t>
  </si>
  <si>
    <t>710х60х60</t>
  </si>
  <si>
    <t>780х170х35</t>
  </si>
  <si>
    <t>1490х25х25</t>
  </si>
  <si>
    <t>Вес нетто, кг</t>
  </si>
  <si>
    <t>Цена розн., руб. с НДС</t>
  </si>
  <si>
    <t>2000х800х150</t>
  </si>
  <si>
    <t>1410х260х60</t>
  </si>
  <si>
    <t>1410х620х32</t>
  </si>
  <si>
    <t>Описание</t>
  </si>
  <si>
    <t>файловый, 2 ящика, /на заказ/</t>
  </si>
  <si>
    <t>Д-102</t>
  </si>
  <si>
    <t>файловый, 3 ящика, /на заказ/</t>
  </si>
  <si>
    <t>Д-103</t>
  </si>
  <si>
    <t>Д-107</t>
  </si>
  <si>
    <t>Д-108</t>
  </si>
  <si>
    <t>Д-111</t>
  </si>
  <si>
    <t>Д-113</t>
  </si>
  <si>
    <t>Д-114</t>
  </si>
  <si>
    <t>Д-115</t>
  </si>
  <si>
    <t>Д-116</t>
  </si>
  <si>
    <t>Д-116з</t>
  </si>
  <si>
    <t>Д-117</t>
  </si>
  <si>
    <t>Д-127</t>
  </si>
  <si>
    <t>Д-128</t>
  </si>
  <si>
    <t>Д-129</t>
  </si>
  <si>
    <t>Д-129М</t>
  </si>
  <si>
    <t>Д-130</t>
  </si>
  <si>
    <t xml:space="preserve">Д-133 </t>
  </si>
  <si>
    <t>Д-133М</t>
  </si>
  <si>
    <t>Д-201</t>
  </si>
  <si>
    <t>Д-203</t>
  </si>
  <si>
    <t>Д-204</t>
  </si>
  <si>
    <t>Д-205</t>
  </si>
  <si>
    <t>Д-213</t>
  </si>
  <si>
    <t>Д-214</t>
  </si>
  <si>
    <t>Д-216</t>
  </si>
  <si>
    <t>Д-217</t>
  </si>
  <si>
    <t>Д-225М</t>
  </si>
  <si>
    <t>Д-230</t>
  </si>
  <si>
    <t>Д-231</t>
  </si>
  <si>
    <t>Д-232</t>
  </si>
  <si>
    <t>Д-233</t>
  </si>
  <si>
    <t>Д-238</t>
  </si>
  <si>
    <t>Д-238/1</t>
  </si>
  <si>
    <t>Д-238/2</t>
  </si>
  <si>
    <t>Д 239</t>
  </si>
  <si>
    <t>Д 240</t>
  </si>
  <si>
    <t>Д-505</t>
  </si>
  <si>
    <t>П-10</t>
  </si>
  <si>
    <t>Экран к Д-238</t>
  </si>
  <si>
    <t>Экран к Д-238/1</t>
  </si>
  <si>
    <t>Д-303</t>
  </si>
  <si>
    <t>Д-303М</t>
  </si>
  <si>
    <t>Д-304</t>
  </si>
  <si>
    <t>Д-306</t>
  </si>
  <si>
    <t>Д-312</t>
  </si>
  <si>
    <t>Д-314</t>
  </si>
  <si>
    <t>Д-319</t>
  </si>
  <si>
    <t>Д-320</t>
  </si>
  <si>
    <t>Д-324</t>
  </si>
  <si>
    <t xml:space="preserve">Д-601 </t>
  </si>
  <si>
    <t>Д-602</t>
  </si>
  <si>
    <t>Д-603</t>
  </si>
  <si>
    <t>Д-603з</t>
  </si>
  <si>
    <t>Д-603Ф</t>
  </si>
  <si>
    <t>Д-604</t>
  </si>
  <si>
    <t>Д-605</t>
  </si>
  <si>
    <t>Д-608А</t>
  </si>
  <si>
    <t>/на заказ/</t>
  </si>
  <si>
    <t>Д-612</t>
  </si>
  <si>
    <t>пружинный блок</t>
  </si>
  <si>
    <t>Матрац Аскона</t>
  </si>
  <si>
    <t>Д-811</t>
  </si>
  <si>
    <t>Ш-302</t>
  </si>
  <si>
    <t>Ш-303</t>
  </si>
  <si>
    <t>металлический</t>
  </si>
  <si>
    <t>стелаж, 5 полок</t>
  </si>
  <si>
    <t>стеллаж 3 полки</t>
  </si>
  <si>
    <t>стеллаж, 2 полки</t>
  </si>
  <si>
    <t>стеллаж, 3 полки</t>
  </si>
  <si>
    <t>стеллаж, 4 полки</t>
  </si>
  <si>
    <t>полка</t>
  </si>
  <si>
    <t>шт</t>
  </si>
  <si>
    <t>Ед</t>
  </si>
  <si>
    <t>1570х300х45</t>
  </si>
  <si>
    <t>книжный, 5 полок, двери - стекло</t>
  </si>
  <si>
    <t>книжный, 1 полка</t>
  </si>
  <si>
    <t>для одежды, 2 полки</t>
  </si>
  <si>
    <t>для одежды, угловой, /на заказ/</t>
  </si>
  <si>
    <t>книжный, 3 полки, верх открытый, низ - дверь ДСП</t>
  </si>
  <si>
    <t>книжный, 4 полки</t>
  </si>
  <si>
    <t>прикроватная, 1 полка</t>
  </si>
  <si>
    <t>приставная к Д-226, Д-227, Д-228, 3 ящика</t>
  </si>
  <si>
    <t>вешалка</t>
  </si>
  <si>
    <t>вешалка с зеркалом</t>
  </si>
  <si>
    <t>антресоль к Д-113, 1 полка</t>
  </si>
  <si>
    <t>антресоль к Д-114, 1 полка</t>
  </si>
  <si>
    <t>380-460х380х480</t>
  </si>
  <si>
    <t>Ш-509</t>
  </si>
  <si>
    <t>490х80х750</t>
  </si>
  <si>
    <t xml:space="preserve"> E-mail: hope@nadegda.spb.ru,  www.nadegdaspb.ru</t>
  </si>
  <si>
    <t>Д-243</t>
  </si>
  <si>
    <t>шт.</t>
  </si>
  <si>
    <t>500х750х550</t>
  </si>
  <si>
    <t>Д-118</t>
  </si>
  <si>
    <t>комбинированный, 2 отделения, в 1 - 4 полки, во 2 - 1 полка, вешалка "Тромбон"</t>
  </si>
  <si>
    <t>1930х400х110</t>
  </si>
  <si>
    <t>Колесо БП с платиком</t>
  </si>
  <si>
    <t>Ножка рег. М6</t>
  </si>
  <si>
    <t>Ножка пласт. Н60</t>
  </si>
  <si>
    <t>к Д-133, Д-133М</t>
  </si>
  <si>
    <t>к Д-131 - Д-133М</t>
  </si>
  <si>
    <t>к шкафам</t>
  </si>
  <si>
    <t>Д-507</t>
  </si>
  <si>
    <t>429х1394х330</t>
  </si>
  <si>
    <t>1380х360х70</t>
  </si>
  <si>
    <t>Д-207</t>
  </si>
  <si>
    <t>письменный, столеш. 22 мм</t>
  </si>
  <si>
    <t>письменный , столеш. 22 мм</t>
  </si>
  <si>
    <t>компьютер, отделение под системный блок, столеш. 16 мм</t>
  </si>
  <si>
    <t>письменный, столеш.16 мм</t>
  </si>
  <si>
    <t>Д-245</t>
  </si>
  <si>
    <t>подставка под систем. блок</t>
  </si>
  <si>
    <t>Д-514</t>
  </si>
  <si>
    <t>Д-515</t>
  </si>
  <si>
    <t>полка настенная</t>
  </si>
  <si>
    <t>300х1302х250</t>
  </si>
  <si>
    <t>350х1000х250</t>
  </si>
  <si>
    <t>Д-404</t>
  </si>
  <si>
    <t>комод, 3 ящика</t>
  </si>
  <si>
    <t>770х800х480</t>
  </si>
  <si>
    <t>письменный, металлокаркас, столеш. 22 мм</t>
  </si>
  <si>
    <t>журнальный, металлокаркас, столеш. 22 мм</t>
  </si>
  <si>
    <t>приставной, металлокас, столеш. 22 мм</t>
  </si>
  <si>
    <t>1000х260х70</t>
  </si>
  <si>
    <t>1000х200х60</t>
  </si>
  <si>
    <t>2000х800х25</t>
  </si>
  <si>
    <t>520-640х600х500</t>
  </si>
  <si>
    <t>520-640х1200х500</t>
  </si>
  <si>
    <t>парта регулируемая, одноместная IV-VI гр. роста</t>
  </si>
  <si>
    <t>парта регулируемая, одноместная  II-IV гр. роста</t>
  </si>
  <si>
    <t>парта регулируемая, двухместная II-IV гр. роста</t>
  </si>
  <si>
    <t>стул регулируемый, II-IV гр. роста, разборный</t>
  </si>
  <si>
    <t>520х820х420</t>
  </si>
  <si>
    <t>Д-112</t>
  </si>
  <si>
    <t>книжный, 2 полки, верх - открытый , низ - двери ДСП</t>
  </si>
  <si>
    <t>1168х802х350</t>
  </si>
  <si>
    <t>Д-134</t>
  </si>
  <si>
    <t>Д-135</t>
  </si>
  <si>
    <t>Д-136</t>
  </si>
  <si>
    <t>1542х802х350</t>
  </si>
  <si>
    <t>Д-315/1</t>
  </si>
  <si>
    <t>Д-315/2</t>
  </si>
  <si>
    <t>1542х330х330</t>
  </si>
  <si>
    <t>1168х330х330</t>
  </si>
  <si>
    <t>Д-208</t>
  </si>
  <si>
    <t>Д-208/ 500</t>
  </si>
  <si>
    <t xml:space="preserve">Д-208/700 </t>
  </si>
  <si>
    <t>16х600х700</t>
  </si>
  <si>
    <t>Д-610/400</t>
  </si>
  <si>
    <t>Д-610/700</t>
  </si>
  <si>
    <t>750х402х502</t>
  </si>
  <si>
    <t>Д-216М</t>
  </si>
  <si>
    <t>750х1400х700</t>
  </si>
  <si>
    <t>750х1200х1200</t>
  </si>
  <si>
    <t>Д-218</t>
  </si>
  <si>
    <t>Д-218/500</t>
  </si>
  <si>
    <t>Д-218/700</t>
  </si>
  <si>
    <t>Д-218/600</t>
  </si>
  <si>
    <t>Д-218/1400</t>
  </si>
  <si>
    <t>Д-218/1600</t>
  </si>
  <si>
    <t>сектор, 22 мм</t>
  </si>
  <si>
    <t>22х1400х700</t>
  </si>
  <si>
    <t>Д-617</t>
  </si>
  <si>
    <t>Д-617М</t>
  </si>
  <si>
    <t>690х904х464</t>
  </si>
  <si>
    <t>690х1086х464</t>
  </si>
  <si>
    <t>Д-618</t>
  </si>
  <si>
    <t>520х1100х420</t>
  </si>
  <si>
    <t>Ш-301 (2-4)</t>
  </si>
  <si>
    <t>Ш-301 (4-6)</t>
  </si>
  <si>
    <t>Ш-304 (2-4)</t>
  </si>
  <si>
    <t>приставная  к столам Д-226, 227, 228, 3 ящика</t>
  </si>
  <si>
    <t>для прихожей, с зеркалом</t>
  </si>
  <si>
    <t>816х802х350</t>
  </si>
  <si>
    <t>книжный, 4 полок</t>
  </si>
  <si>
    <t>книжный, угловой, дверь - стекло, /на заказ/</t>
  </si>
  <si>
    <t>для одежды, угловой, дверь - зеркало, /на заказ/</t>
  </si>
  <si>
    <t>книжный, 4 полки, дверь - стекло /на заказ/</t>
  </si>
  <si>
    <t>витрина, 3 полки, низ - двери ДСП /на заказ/</t>
  </si>
  <si>
    <t>шкаф для обуви, 1 полка</t>
  </si>
  <si>
    <t>книж., 3 полки, верх - двери стекло, низ - двери ДСП</t>
  </si>
  <si>
    <t>книжный, 3 полки, верх открытый, низ - двери ДСП</t>
  </si>
  <si>
    <t>книжный, 2 полки /на заказ/</t>
  </si>
  <si>
    <t>книжный, 3 полки , верх - открытый, низ - двери ДСП  /на заказ/</t>
  </si>
  <si>
    <t>книжный, 4 полки, верх открытый, низ-двери ДСП        /на заказ/</t>
  </si>
  <si>
    <t>письм., столешница 16 мм</t>
  </si>
  <si>
    <t>письм., 3 ящика, столешница 16 мм</t>
  </si>
  <si>
    <t>комп., столешница 16 мм</t>
  </si>
  <si>
    <t>письм. с тумбой, столеш. 16 мм</t>
  </si>
  <si>
    <t>приставн., столешница 16 мм</t>
  </si>
  <si>
    <t>эргономич., столеш. 22 мм</t>
  </si>
  <si>
    <t>металлокаркас, 2 полки, 1 ящик, столеш. 22 мм</t>
  </si>
  <si>
    <t>1305х760х550</t>
  </si>
  <si>
    <t>письменный, с экраном, столеш. 22 мм</t>
  </si>
  <si>
    <t>приставной с экраном, столеш. 22 мм</t>
  </si>
  <si>
    <t>журнальный на колесах,  столеш. 16 мм</t>
  </si>
  <si>
    <t>стол-книжка с тумбой, 1 полка, 3 ящика</t>
  </si>
  <si>
    <t>сектор, 16 мм</t>
  </si>
  <si>
    <t>ножка-опора для сектора</t>
  </si>
  <si>
    <t>подставка под обувь, 2 полки</t>
  </si>
  <si>
    <t>950х814х300</t>
  </si>
  <si>
    <t>стеллаж, 1 секция, 3 полки</t>
  </si>
  <si>
    <t>189х770х250</t>
  </si>
  <si>
    <t>для ТВ на колесах</t>
  </si>
  <si>
    <t>мобильная, 2 ящика</t>
  </si>
  <si>
    <t>мобильная, 3 ящика</t>
  </si>
  <si>
    <t>мобильная, 3 ящика, замок</t>
  </si>
  <si>
    <t>приставная, 4 ящика, к Д-214, Д-216, Д-216М, Д-217</t>
  </si>
  <si>
    <t>приставная к Д-223, 222, 4 ящика</t>
  </si>
  <si>
    <t>мобильная, 3 ящика, 1 полка</t>
  </si>
  <si>
    <t>односпальная на металлокаркасе</t>
  </si>
  <si>
    <t>вешалка, 6 крючков</t>
  </si>
  <si>
    <t>1826х710х335</t>
  </si>
  <si>
    <t>парта нерегулируемая, двухместная, VI гр. роста</t>
  </si>
  <si>
    <t>парта нерегулируемая, одноместаня, VI гр. роста</t>
  </si>
  <si>
    <t>стул нерегулируемый, разборный VI гр. роста</t>
  </si>
  <si>
    <t xml:space="preserve">парта регулируемая, двухместная IV-VI гр. роста </t>
  </si>
  <si>
    <t>300-380х340х430</t>
  </si>
  <si>
    <t>460х380х480</t>
  </si>
  <si>
    <t>Д-202</t>
  </si>
  <si>
    <t>750х1350х1350</t>
  </si>
  <si>
    <t>мобильная, 4 ящика, 1 полка</t>
  </si>
  <si>
    <t>моб., 4 ящика, отделение под системный блок, 1 полка</t>
  </si>
  <si>
    <t>мобильная, тумба для ТВ</t>
  </si>
  <si>
    <t>Ш-304 (4-6)</t>
  </si>
  <si>
    <t>Ш-508 (2-4)</t>
  </si>
  <si>
    <t>Ш-508 (4-6)</t>
  </si>
  <si>
    <t>Ш-305</t>
  </si>
  <si>
    <t>Д-211</t>
  </si>
  <si>
    <t>Д-212</t>
  </si>
  <si>
    <t>письмен., 2 тумбы, 3 ящика в каждой, столеш. 16 мм</t>
  </si>
  <si>
    <t>письмен., 2 тумбы, одна - 3 ящика, вторая - дверь, 1полка, столеш. 16 мм</t>
  </si>
  <si>
    <t>750х1600х600</t>
  </si>
  <si>
    <t>к столам</t>
  </si>
  <si>
    <t>770х560х80</t>
  </si>
  <si>
    <t>970х470х60</t>
  </si>
  <si>
    <t>630х480х80</t>
  </si>
  <si>
    <t>630х520х90</t>
  </si>
  <si>
    <t>1220х510х100</t>
  </si>
  <si>
    <t>620х510х30</t>
  </si>
  <si>
    <t>620х620х40</t>
  </si>
  <si>
    <t>720х610х40</t>
  </si>
  <si>
    <t>720х720х40</t>
  </si>
  <si>
    <t>стеллаж, задняя стенка ДВП, 5 полок</t>
  </si>
  <si>
    <t>стеллаж открытый, 5 полок</t>
  </si>
  <si>
    <t>Мебель для персонала "Классика"</t>
  </si>
  <si>
    <t>Рабочие поверхности (столы, тумбы) - кромка ПВХ - 2 мм</t>
  </si>
  <si>
    <t>Основной цвет ДСП:</t>
  </si>
  <si>
    <t>Дополнительные цвета ДСП:</t>
  </si>
  <si>
    <t xml:space="preserve"> - вишня</t>
  </si>
  <si>
    <t xml:space="preserve"> - титан</t>
  </si>
  <si>
    <t>Мебель для персонала "Диалог"</t>
  </si>
  <si>
    <t>Исполнение: ламинированая ДСП - 22 мм, 16 мм</t>
  </si>
  <si>
    <t>Рабочие поверхности  - кромка ПВХ - 2 мм</t>
  </si>
  <si>
    <t>ламинированая ДСП - 22 мм</t>
  </si>
  <si>
    <t>механизмом регулировки угла наклона столешницы.</t>
  </si>
  <si>
    <t>Исполнение:</t>
  </si>
  <si>
    <t>Торцевые поверхности (шкафы, стеллажи, полки) - кромка ПВХ - 0,45 мм</t>
  </si>
  <si>
    <t xml:space="preserve">Для регулируемых парт Ш-301 и Ш-304 возможна комплектация </t>
  </si>
  <si>
    <t>Возможна комплектация столов съемным экраном (сталь с полимерным покрытием)</t>
  </si>
  <si>
    <t xml:space="preserve">Столы, тумбы, стеллажи и шкафы дополнительно могут оснащаться регулируемыми опорами, которые позволяют компенсировать неровности пола. Регулировка выравнивания ножек составляет 0/+10 мм.
</t>
  </si>
  <si>
    <t>светло-серый шагрень RAL 7038), ламинированая ДСП - 16 мм</t>
  </si>
  <si>
    <t>Сидение школьного стула имеет высококачественную шлифовку и загнутый передний край, что предотвращает появление заноз и царапин, а так же зацепок на одежде у детей.</t>
  </si>
  <si>
    <t xml:space="preserve">Исполнение: каркас из профильной трубы (сталь с полимерным покрытием)                         </t>
  </si>
  <si>
    <r>
      <t xml:space="preserve">Стулья:  - </t>
    </r>
    <r>
      <rPr>
        <sz val="10"/>
        <rFont val="Arial"/>
        <family val="2"/>
      </rPr>
      <t>регулируемые, 2-4, 4-6 гр. роста</t>
    </r>
  </si>
  <si>
    <t>каркас из профильной трубы (сталь с полимерным покрытием)</t>
  </si>
  <si>
    <r>
      <t>Основной цвет полимерного покрытия</t>
    </r>
    <r>
      <rPr>
        <sz val="10"/>
        <rFont val="Arial"/>
        <family val="2"/>
      </rPr>
      <t xml:space="preserve"> - светло-серый шагрень (RAL 7038)</t>
    </r>
  </si>
  <si>
    <t>стул регулируемый, IV-VI гр. роста, разборный</t>
  </si>
  <si>
    <t>380-420х450х482</t>
  </si>
  <si>
    <t>1800х1264х238</t>
  </si>
  <si>
    <t>1110х750х70</t>
  </si>
  <si>
    <t>810х495х165</t>
  </si>
  <si>
    <t>стеллаж открытый</t>
  </si>
  <si>
    <t>стол разборный</t>
  </si>
  <si>
    <t>стул регулируемый, IV-V гр. роста, для детей с ограниченными физич. возможностями /на заказ/</t>
  </si>
  <si>
    <t>сектор угловой, с экраном,  столеш. 22 мм</t>
  </si>
  <si>
    <t>журнальный на колесах,  столеш. 16мм</t>
  </si>
  <si>
    <t>Основа сидения и спинки ученического стула представляет собой гнутоклеенную фанеру толщиной 9 мм.</t>
  </si>
  <si>
    <t xml:space="preserve">               - нерегулируемые, 6 гр. роста</t>
  </si>
  <si>
    <t>Возможно комбинированное цветовое исполнение /на заказ/.</t>
  </si>
  <si>
    <t>Д-326</t>
  </si>
  <si>
    <t>стеллаж открытый, 4 полки</t>
  </si>
  <si>
    <t>2146х1532х280</t>
  </si>
  <si>
    <t>Школьная мебель, производимая компанией "Надежда", отвечает всем требованиям ГОСТ 22046-2002</t>
  </si>
  <si>
    <t>Офисная мебель, производимая компанией "Надежда", отвечает всем требованиям ГОСТ 16371-93</t>
  </si>
  <si>
    <t>Д-340/2(680)</t>
  </si>
  <si>
    <t>Д-340/3(680)</t>
  </si>
  <si>
    <t>Д-341(680)</t>
  </si>
  <si>
    <t xml:space="preserve"> Стеллаж поворотный  3 полки,
Полки вращаются независимо друг от друга.  </t>
  </si>
  <si>
    <t>Крышка, к стеллажам d-680 (не вращается)</t>
  </si>
  <si>
    <t xml:space="preserve"> Стеллаж поворотный  2 полки,
Полки вращаются независимо друг от друга.  </t>
  </si>
  <si>
    <t xml:space="preserve">шт. </t>
  </si>
  <si>
    <t>922х680х680</t>
  </si>
  <si>
    <t>1288х680х680</t>
  </si>
  <si>
    <t>16х680х680</t>
  </si>
  <si>
    <t>комп., 3 ящ., столеш. 16 мм.</t>
  </si>
  <si>
    <t xml:space="preserve">Размер упаковки  </t>
  </si>
  <si>
    <t>(Длина х Ширина х Высота), мм</t>
  </si>
  <si>
    <t>Д-119</t>
  </si>
  <si>
    <t>Д-120</t>
  </si>
  <si>
    <t>600х500х300</t>
  </si>
  <si>
    <t>600х800х300</t>
  </si>
  <si>
    <t xml:space="preserve">Шкаф  кухонный навесной </t>
  </si>
  <si>
    <t>1170х400х150</t>
  </si>
  <si>
    <t>1550х410х135</t>
  </si>
  <si>
    <t>1930х395х120</t>
  </si>
  <si>
    <t>1620х610х120</t>
  </si>
  <si>
    <t>1630х620х120</t>
  </si>
  <si>
    <t>Д-325</t>
  </si>
  <si>
    <t>1800х1400х266</t>
  </si>
  <si>
    <t>1810х300х120</t>
  </si>
  <si>
    <t>620х520х70</t>
  </si>
  <si>
    <t>700х700х40</t>
  </si>
  <si>
    <t>Д-517</t>
  </si>
  <si>
    <t>картон/
стрейч</t>
  </si>
  <si>
    <t>1010х50х50</t>
  </si>
  <si>
    <t>360х270х130</t>
  </si>
  <si>
    <t>800х1500х900</t>
  </si>
  <si>
    <t>1560х1000х50</t>
  </si>
  <si>
    <t>Д-342</t>
  </si>
  <si>
    <t>Д-249</t>
  </si>
  <si>
    <t xml:space="preserve">Стол компютерный. </t>
  </si>
  <si>
    <t>Стеллаж</t>
  </si>
  <si>
    <t>Д-248</t>
  </si>
  <si>
    <t>Стол письменный</t>
  </si>
  <si>
    <t>1230х600х60</t>
  </si>
  <si>
    <t>650х450х60</t>
  </si>
  <si>
    <t>1290х700х60</t>
  </si>
  <si>
    <t>полка настенная (стекл. двери)</t>
  </si>
  <si>
    <t>Д-523</t>
  </si>
  <si>
    <t>Ш-304М (4-6)</t>
  </si>
  <si>
    <t>Ш-301М (4-6)</t>
  </si>
  <si>
    <t>Ш-304М (2-4)</t>
  </si>
  <si>
    <t>1220х510х90</t>
  </si>
  <si>
    <t xml:space="preserve">парта регулируемая, одноместная </t>
  </si>
  <si>
    <t>парта регулируемая, двухместная</t>
  </si>
  <si>
    <t>парта регулируемая, одноместная</t>
  </si>
  <si>
    <t xml:space="preserve">парта регулируемая, двухместная </t>
  </si>
  <si>
    <t>520-760х600х500</t>
  </si>
  <si>
    <t>520-760х1200х500</t>
  </si>
  <si>
    <t>1830х250х120</t>
  </si>
  <si>
    <t>1300х280х90</t>
  </si>
  <si>
    <t>Ш-508</t>
  </si>
  <si>
    <t>300-460х380х480</t>
  </si>
  <si>
    <t>стул регулируемый, II-VI гр. роста, разборный</t>
  </si>
  <si>
    <t>Д-710</t>
  </si>
  <si>
    <t>Стол раскладной</t>
  </si>
  <si>
    <t>560х700х1970</t>
  </si>
  <si>
    <t>1080х360х344</t>
  </si>
  <si>
    <t>Д-522</t>
  </si>
  <si>
    <t>Полка трехсекционная закрытая</t>
  </si>
  <si>
    <t>парта регулируемая, одноместная, с корзиной, II-VI гр. роста</t>
  </si>
  <si>
    <t>1100х400х120</t>
  </si>
  <si>
    <t>1180х400х150</t>
  </si>
  <si>
    <t>610х810х70</t>
  </si>
  <si>
    <t>картон стрейч</t>
  </si>
  <si>
    <t>510х510х30</t>
  </si>
  <si>
    <t>1560х340х60</t>
  </si>
  <si>
    <t>1130х340х60</t>
  </si>
  <si>
    <t>690х690х40</t>
  </si>
  <si>
    <t>800х150х150 700х700х80</t>
  </si>
  <si>
    <t>1170х150х150</t>
  </si>
  <si>
    <t>650х650х80
700х700х80</t>
  </si>
  <si>
    <t>470х740х130</t>
  </si>
  <si>
    <t>380х450х482</t>
  </si>
  <si>
    <t>750х1225х40</t>
  </si>
  <si>
    <t>750х1550х40</t>
  </si>
  <si>
    <t>750х2150х40</t>
  </si>
  <si>
    <t>800х460х40</t>
  </si>
  <si>
    <t>800х510х40</t>
  </si>
  <si>
    <t>Д-343</t>
  </si>
  <si>
    <t>1640х700х60</t>
  </si>
  <si>
    <t>1280х650х300</t>
  </si>
  <si>
    <t>830х410х50</t>
  </si>
  <si>
    <t>Д-344</t>
  </si>
  <si>
    <t>580х650х300</t>
  </si>
  <si>
    <t>590х700х60</t>
  </si>
  <si>
    <t>163х650х300</t>
  </si>
  <si>
    <t>728х1200х668</t>
  </si>
  <si>
    <t>Д-255(сосна)</t>
  </si>
  <si>
    <t>620х520х40</t>
  </si>
  <si>
    <t>720х620х40</t>
  </si>
  <si>
    <t>1420х720х40</t>
  </si>
  <si>
    <t>1620х820х40</t>
  </si>
  <si>
    <t>840х480х80</t>
  </si>
  <si>
    <t>2000х200х35</t>
  </si>
  <si>
    <t>Д-257</t>
  </si>
  <si>
    <t xml:space="preserve">Стол-книжка </t>
  </si>
  <si>
    <t>750х330/1570х770</t>
  </si>
  <si>
    <t>приставн., столешница 22 мм</t>
  </si>
  <si>
    <t>790х670х90</t>
  </si>
  <si>
    <t xml:space="preserve">Прайс-лист для дилеров </t>
  </si>
  <si>
    <t>КОРПУСНАЯ МЕБЕЛЬ</t>
  </si>
  <si>
    <t>Заказ</t>
  </si>
  <si>
    <t>Склад</t>
  </si>
  <si>
    <t>Д-222ПР / Д-222Л</t>
  </si>
  <si>
    <t xml:space="preserve">Д-223ПР / Д-223Л </t>
  </si>
  <si>
    <t>Д-226ПР / Д-226Л</t>
  </si>
  <si>
    <t>Д-227ПР / Д-227Л</t>
  </si>
  <si>
    <t>Д-228ПР / Д-228Л</t>
  </si>
  <si>
    <t>ШКАФЫ</t>
  </si>
  <si>
    <t>КОМПЛЕКТУЮЩИЕ К ШКАФАМ</t>
  </si>
  <si>
    <t>СТОЛЫ</t>
  </si>
  <si>
    <t>КОМПЛЕКТУЮЩИЕ К СТОЛАМ</t>
  </si>
  <si>
    <t>ТУМБЫ</t>
  </si>
  <si>
    <t>КРОВАТИ</t>
  </si>
  <si>
    <t>ВЕШАЛКИ, ПРИХОЖИЕ</t>
  </si>
  <si>
    <t>ШКОЛЬНАЯ МЕБЕЛЬ</t>
  </si>
  <si>
    <t>СТЕЛЛАЖИ И ПОЛКИ</t>
  </si>
  <si>
    <t>Д-328</t>
  </si>
  <si>
    <t>Д-327</t>
  </si>
  <si>
    <t xml:space="preserve">стеллаж угловой 4 полки   </t>
  </si>
  <si>
    <t>стеллаж угловой 3 полки /на заказ/</t>
  </si>
  <si>
    <t>стеллаж на 6 ячеек, ДСП 10 мм</t>
  </si>
  <si>
    <t>стеллаж на 6 ячеек мини, ДСП 10 мм</t>
  </si>
  <si>
    <t>Ш-511(4-5)</t>
  </si>
  <si>
    <t>Д-329</t>
  </si>
  <si>
    <t>стеллаж с ячейками комбо мини, 4 ассим. полки, ДСП 10 мм</t>
  </si>
  <si>
    <t>Д-330</t>
  </si>
  <si>
    <t>Д-331</t>
  </si>
  <si>
    <t>Д-332</t>
  </si>
  <si>
    <t>стеллаж на 8 ячеек, ДСП 10 мм</t>
  </si>
  <si>
    <t>1214х610х298</t>
  </si>
  <si>
    <t>стеллаж, 2 полки, ДСП 10 мм</t>
  </si>
  <si>
    <t>295х610х295</t>
  </si>
  <si>
    <t>стеллаж на 9 ячеек, ДСП 10 мм</t>
  </si>
  <si>
    <r>
      <t xml:space="preserve">Снят с производства </t>
    </r>
    <r>
      <rPr>
        <sz val="10"/>
        <rFont val="Arial"/>
        <family val="2"/>
      </rPr>
      <t>(наличие на складе уточнять у менеджеров)</t>
    </r>
  </si>
  <si>
    <r>
      <t>эргономич. угловой, столеш. 22 мм</t>
    </r>
    <r>
      <rPr>
        <b/>
        <sz val="10"/>
        <rFont val="Arial"/>
        <family val="2"/>
      </rPr>
      <t xml:space="preserve">                </t>
    </r>
  </si>
  <si>
    <t>610х160х90</t>
  </si>
  <si>
    <t>610х300х50</t>
  </si>
  <si>
    <t>1220х720х80</t>
  </si>
  <si>
    <t>1230х320х80</t>
  </si>
  <si>
    <t>945х320х110</t>
  </si>
  <si>
    <t>920х320х90</t>
  </si>
  <si>
    <t>Д-621</t>
  </si>
  <si>
    <t>Тумба под мойку 820х600х550</t>
  </si>
  <si>
    <t>820х600х550</t>
  </si>
  <si>
    <t>Д-622</t>
  </si>
  <si>
    <t>Тумба под мойку 820х500х450</t>
  </si>
  <si>
    <t>820х500х450</t>
  </si>
  <si>
    <t>Д-623</t>
  </si>
  <si>
    <t>Тумба под мойку 820х800х550</t>
  </si>
  <si>
    <t>820х800х550</t>
  </si>
  <si>
    <t>Д-120 без дна</t>
  </si>
  <si>
    <t xml:space="preserve">855х1200х590  </t>
  </si>
  <si>
    <t>750х650х490</t>
  </si>
  <si>
    <t>650х600х380</t>
  </si>
  <si>
    <t>414х610х155</t>
  </si>
  <si>
    <t>910х910х298</t>
  </si>
  <si>
    <t>1100х1200х120</t>
  </si>
  <si>
    <t>910х610х298</t>
  </si>
  <si>
    <t>МЕБЕЛЬ ДЛЯ КУХНИ</t>
  </si>
  <si>
    <t>Д-107М</t>
  </si>
  <si>
    <t>пенал кухонный, 4 полки</t>
  </si>
  <si>
    <t xml:space="preserve">Д-105 </t>
  </si>
  <si>
    <t>бук</t>
  </si>
  <si>
    <t>орех, дуб</t>
  </si>
  <si>
    <t>бук, дуб</t>
  </si>
  <si>
    <t>орех</t>
  </si>
  <si>
    <t>дуб</t>
  </si>
  <si>
    <t>Д-250</t>
  </si>
  <si>
    <t>моб., 3 ящика, центральный замок</t>
  </si>
  <si>
    <r>
      <t xml:space="preserve">Складская программа </t>
    </r>
    <r>
      <rPr>
        <i/>
        <sz val="10"/>
        <rFont val="Arial"/>
        <family val="2"/>
      </rPr>
      <t>(цвет ДСП)</t>
    </r>
  </si>
  <si>
    <r>
      <t xml:space="preserve">Товар под заказ </t>
    </r>
    <r>
      <rPr>
        <i/>
        <sz val="10"/>
        <rFont val="Arial"/>
        <family val="2"/>
      </rPr>
      <t>(цвет ДСП)</t>
    </r>
    <r>
      <rPr>
        <b/>
        <sz val="10"/>
        <rFont val="Arial"/>
        <family val="2"/>
      </rPr>
      <t xml:space="preserve">/      мин.партия,  шт. </t>
    </r>
  </si>
  <si>
    <t>Д-624</t>
  </si>
  <si>
    <t>850х600х500</t>
  </si>
  <si>
    <t>Д-625</t>
  </si>
  <si>
    <t>Д-626</t>
  </si>
  <si>
    <t>Тумба кухонная, одна дверь, столешница Мистик страйп</t>
  </si>
  <si>
    <t>Тумба кухонная, две двери, столешница Мистик страйп</t>
  </si>
  <si>
    <t>Д-121</t>
  </si>
  <si>
    <t>600х600х300</t>
  </si>
  <si>
    <t>ТАБУРЕТЫ</t>
  </si>
  <si>
    <t>СД-210</t>
  </si>
  <si>
    <t>табурет, ЛДСП 22 мм, кромка 0,45 мм</t>
  </si>
  <si>
    <t>316х400х200</t>
  </si>
  <si>
    <t xml:space="preserve"> ООО "Надежда", 195197, г. Санкт-Петербург, ул. Жукова, д.39, литер А,  тел./факс: 601-06-78, e-mail: hope@nadegda.spb.ru , www.nadegdaspb.ru</t>
  </si>
  <si>
    <t xml:space="preserve"> ООО "Надежда", 195197, г. Санкт-Петербург, ул. Жукова, д.39, литер А,  тел./факс: 601-06-78</t>
  </si>
  <si>
    <t>Дуб беленый</t>
  </si>
  <si>
    <t>Орех (Ноче Мария Луиза)</t>
  </si>
  <si>
    <t>Бук Бавария</t>
  </si>
  <si>
    <t>/под заказ/</t>
  </si>
  <si>
    <t xml:space="preserve">Парты:  </t>
  </si>
  <si>
    <t>1. регулируемые, 2-4, 4-6 гр. роста</t>
  </si>
  <si>
    <t>2. нерегулируемые, 6 гр. роста</t>
  </si>
  <si>
    <r>
      <rPr>
        <b/>
        <sz val="10"/>
        <rFont val="Arial"/>
        <family val="2"/>
      </rPr>
      <t>Исполнение:</t>
    </r>
    <r>
      <rPr>
        <sz val="10"/>
        <rFont val="Arial"/>
        <family val="2"/>
      </rPr>
      <t xml:space="preserve"> каркас из профильной трубы (сталь с полимерным покрытием, цвет </t>
    </r>
  </si>
  <si>
    <r>
      <rPr>
        <b/>
        <sz val="10"/>
        <rFont val="Arial"/>
        <family val="2"/>
      </rPr>
      <t>Рабочие поверхности</t>
    </r>
    <r>
      <rPr>
        <sz val="10"/>
        <rFont val="Arial"/>
        <family val="2"/>
      </rPr>
      <t>: кромка ПВХ - 2 мм</t>
    </r>
  </si>
  <si>
    <t>Д-113М</t>
  </si>
  <si>
    <t>книжный, 4 полок, замок</t>
  </si>
  <si>
    <t>Д-244М</t>
  </si>
  <si>
    <t>дуб, орех</t>
  </si>
  <si>
    <t>750х388х770</t>
  </si>
  <si>
    <t xml:space="preserve">                                                                                                                                       </t>
  </si>
  <si>
    <t>108х520х120</t>
  </si>
  <si>
    <t>серый</t>
  </si>
  <si>
    <t>полка зигзагообразная</t>
  </si>
  <si>
    <t>Д-404М</t>
  </si>
  <si>
    <t>комод, 5 ящиков</t>
  </si>
  <si>
    <t>1000х800х480</t>
  </si>
  <si>
    <t>СД-211</t>
  </si>
  <si>
    <t>табурет, ЛДСП 16 мм, кромка 0,45 мм</t>
  </si>
  <si>
    <t>450х330х330</t>
  </si>
  <si>
    <t>Д-258</t>
  </si>
  <si>
    <t>Стол обеденный</t>
  </si>
  <si>
    <t>Д-259</t>
  </si>
  <si>
    <t>750х750х750</t>
  </si>
  <si>
    <t>750х1200х750</t>
  </si>
  <si>
    <t xml:space="preserve">Д-524 </t>
  </si>
  <si>
    <t>Д-524 серый</t>
  </si>
  <si>
    <t>Д-260</t>
  </si>
  <si>
    <t>Стол откидной</t>
  </si>
  <si>
    <t>250х900х522</t>
  </si>
  <si>
    <t>ольха, орех, дуб</t>
  </si>
  <si>
    <t>ольха, дуб</t>
  </si>
  <si>
    <t>ольха, орех</t>
  </si>
  <si>
    <t>ольха</t>
  </si>
  <si>
    <t>орех, ольха</t>
  </si>
  <si>
    <t>Ш-301 (2-6)</t>
  </si>
  <si>
    <t>Ш-301М (2-6)</t>
  </si>
  <si>
    <t>Ш-304 (2-6)</t>
  </si>
  <si>
    <t>Ш-304М (2-6)</t>
  </si>
  <si>
    <t>Ш-301М (2-4)</t>
  </si>
  <si>
    <t>Цена указана в рублях, с учетом НДС, без учета сборки, доставки и такелажа.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</si>
</sst>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00"/>
    <numFmt numFmtId="174" formatCode="0;[Red]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sz val="10"/>
      <color indexed="63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center"/>
    </xf>
    <xf numFmtId="14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1" fontId="10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14" fontId="9" fillId="33" borderId="0" xfId="0" applyNumberFormat="1" applyFont="1" applyFill="1" applyBorder="1" applyAlignment="1">
      <alignment/>
    </xf>
    <xf numFmtId="14" fontId="10" fillId="33" borderId="0" xfId="0" applyNumberFormat="1" applyFont="1" applyFill="1" applyBorder="1" applyAlignment="1">
      <alignment horizontal="left" vertical="center" wrapText="1"/>
    </xf>
    <xf numFmtId="14" fontId="10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2" fontId="10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/>
    </xf>
    <xf numFmtId="0" fontId="15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9" fillId="36" borderId="10" xfId="0" applyFont="1" applyFill="1" applyBorder="1" applyAlignment="1">
      <alignment horizontal="left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center"/>
    </xf>
    <xf numFmtId="1" fontId="9" fillId="36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12" fillId="36" borderId="0" xfId="0" applyFont="1" applyFill="1" applyAlignment="1">
      <alignment horizontal="center"/>
    </xf>
    <xf numFmtId="0" fontId="4" fillId="36" borderId="0" xfId="0" applyFont="1" applyFill="1" applyBorder="1" applyAlignment="1">
      <alignment horizontal="center" vertical="top" wrapText="1"/>
    </xf>
    <xf numFmtId="0" fontId="4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top" wrapText="1"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2" fontId="0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 vertical="center"/>
    </xf>
    <xf numFmtId="2" fontId="0" fillId="36" borderId="10" xfId="58" applyNumberFormat="1" applyFont="1" applyFill="1" applyBorder="1" applyAlignment="1">
      <alignment horizontal="center" vertical="center" wrapText="1"/>
    </xf>
    <xf numFmtId="2" fontId="0" fillId="36" borderId="10" xfId="58" applyNumberFormat="1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2" fontId="4" fillId="36" borderId="0" xfId="0" applyNumberFormat="1" applyFont="1" applyFill="1" applyBorder="1" applyAlignment="1">
      <alignment horizontal="center" vertical="center"/>
    </xf>
    <xf numFmtId="2" fontId="3" fillId="36" borderId="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Border="1" applyAlignment="1">
      <alignment horizontal="center" vertical="center"/>
    </xf>
    <xf numFmtId="2" fontId="4" fillId="36" borderId="0" xfId="0" applyNumberFormat="1" applyFont="1" applyFill="1" applyAlignment="1">
      <alignment horizontal="center" vertical="center"/>
    </xf>
    <xf numFmtId="173" fontId="0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 horizontal="left" vertical="center"/>
    </xf>
    <xf numFmtId="0" fontId="0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 horizontal="left" vertical="center"/>
    </xf>
    <xf numFmtId="0" fontId="13" fillId="36" borderId="0" xfId="0" applyFont="1" applyFill="1" applyAlignment="1">
      <alignment horizontal="left" vertical="center"/>
    </xf>
    <xf numFmtId="0" fontId="9" fillId="37" borderId="21" xfId="0" applyFont="1" applyFill="1" applyBorder="1" applyAlignment="1">
      <alignment horizontal="center" vertical="top" wrapText="1"/>
    </xf>
    <xf numFmtId="0" fontId="9" fillId="37" borderId="22" xfId="0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center" vertical="top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2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top" wrapText="1"/>
    </xf>
    <xf numFmtId="0" fontId="9" fillId="37" borderId="19" xfId="0" applyFont="1" applyFill="1" applyBorder="1" applyAlignment="1">
      <alignment horizontal="center" vertical="top" wrapText="1"/>
    </xf>
    <xf numFmtId="0" fontId="9" fillId="37" borderId="20" xfId="0" applyFont="1" applyFill="1" applyBorder="1" applyAlignment="1">
      <alignment horizontal="center" vertical="top" wrapText="1"/>
    </xf>
    <xf numFmtId="1" fontId="9" fillId="36" borderId="23" xfId="0" applyNumberFormat="1" applyFont="1" applyFill="1" applyBorder="1" applyAlignment="1">
      <alignment horizontal="center" vertical="center" wrapText="1"/>
    </xf>
    <xf numFmtId="1" fontId="9" fillId="36" borderId="12" xfId="0" applyNumberFormat="1" applyFont="1" applyFill="1" applyBorder="1" applyAlignment="1">
      <alignment horizontal="center" vertical="center" wrapText="1"/>
    </xf>
    <xf numFmtId="2" fontId="0" fillId="36" borderId="23" xfId="0" applyNumberFormat="1" applyFont="1" applyFill="1" applyBorder="1" applyAlignment="1">
      <alignment horizontal="center" vertical="center" wrapText="1"/>
    </xf>
    <xf numFmtId="2" fontId="0" fillId="36" borderId="12" xfId="0" applyNumberFormat="1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2" fontId="9" fillId="36" borderId="23" xfId="0" applyNumberFormat="1" applyFont="1" applyFill="1" applyBorder="1" applyAlignment="1">
      <alignment horizontal="center" vertical="center" wrapText="1"/>
    </xf>
    <xf numFmtId="2" fontId="9" fillId="36" borderId="24" xfId="0" applyNumberFormat="1" applyFont="1" applyFill="1" applyBorder="1" applyAlignment="1">
      <alignment horizontal="center" vertical="center" wrapText="1"/>
    </xf>
    <xf numFmtId="2" fontId="9" fillId="36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/>
    </xf>
    <xf numFmtId="0" fontId="9" fillId="36" borderId="20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left" vertical="center"/>
    </xf>
    <xf numFmtId="0" fontId="9" fillId="36" borderId="12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 wrapText="1"/>
    </xf>
    <xf numFmtId="0" fontId="9" fillId="36" borderId="1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/>
    </xf>
    <xf numFmtId="0" fontId="9" fillId="36" borderId="11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 vertical="top"/>
    </xf>
    <xf numFmtId="14" fontId="16" fillId="39" borderId="19" xfId="0" applyNumberFormat="1" applyFont="1" applyFill="1" applyBorder="1" applyAlignment="1">
      <alignment horizontal="center" vertical="center"/>
    </xf>
    <xf numFmtId="0" fontId="16" fillId="39" borderId="1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Font="1" applyBorder="1" applyAlignment="1">
      <alignment horizontal="justify" vertical="center" wrapText="1"/>
    </xf>
    <xf numFmtId="0" fontId="9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182</xdr:row>
      <xdr:rowOff>0</xdr:rowOff>
    </xdr:from>
    <xdr:to>
      <xdr:col>0</xdr:col>
      <xdr:colOff>0</xdr:colOff>
      <xdr:row>190</xdr:row>
      <xdr:rowOff>28575</xdr:rowOff>
    </xdr:to>
    <xdr:pic>
      <xdr:nvPicPr>
        <xdr:cNvPr id="1" name="Picture 5" descr="Nadezda1"/>
        <xdr:cNvPicPr preferRelativeResize="1">
          <a:picLocks noChangeAspect="1"/>
        </xdr:cNvPicPr>
      </xdr:nvPicPr>
      <xdr:blipFill>
        <a:blip r:embed="rId1"/>
        <a:srcRect l="-4324" t="-5404" r="34930" b="24232"/>
        <a:stretch>
          <a:fillRect/>
        </a:stretch>
      </xdr:blipFill>
      <xdr:spPr>
        <a:xfrm>
          <a:off x="0" y="51215925"/>
          <a:ext cx="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216</xdr:row>
      <xdr:rowOff>0</xdr:rowOff>
    </xdr:from>
    <xdr:to>
      <xdr:col>0</xdr:col>
      <xdr:colOff>0</xdr:colOff>
      <xdr:row>216</xdr:row>
      <xdr:rowOff>0</xdr:rowOff>
    </xdr:to>
    <xdr:pic>
      <xdr:nvPicPr>
        <xdr:cNvPr id="2" name="Picture 4" descr="Nadezda1"/>
        <xdr:cNvPicPr preferRelativeResize="1">
          <a:picLocks noChangeAspect="1"/>
        </xdr:cNvPicPr>
      </xdr:nvPicPr>
      <xdr:blipFill>
        <a:blip r:embed="rId1"/>
        <a:srcRect l="-4324" t="-5404" r="34930" b="24232"/>
        <a:stretch>
          <a:fillRect/>
        </a:stretch>
      </xdr:blipFill>
      <xdr:spPr>
        <a:xfrm>
          <a:off x="0" y="59531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0</xdr:col>
      <xdr:colOff>638175</xdr:colOff>
      <xdr:row>3</xdr:row>
      <xdr:rowOff>66675</xdr:rowOff>
    </xdr:to>
    <xdr:pic>
      <xdr:nvPicPr>
        <xdr:cNvPr id="3" name="Picture 8" descr="для прайсов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13</xdr:row>
      <xdr:rowOff>0</xdr:rowOff>
    </xdr:from>
    <xdr:to>
      <xdr:col>5</xdr:col>
      <xdr:colOff>9525</xdr:colOff>
      <xdr:row>14</xdr:row>
      <xdr:rowOff>0</xdr:rowOff>
    </xdr:to>
    <xdr:pic>
      <xdr:nvPicPr>
        <xdr:cNvPr id="1" name="Picture 1" descr="Бу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55270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152400</xdr:rowOff>
    </xdr:from>
    <xdr:to>
      <xdr:col>5</xdr:col>
      <xdr:colOff>9525</xdr:colOff>
      <xdr:row>19</xdr:row>
      <xdr:rowOff>9525</xdr:rowOff>
    </xdr:to>
    <xdr:pic>
      <xdr:nvPicPr>
        <xdr:cNvPr id="2" name="Picture 2" descr="Вишня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3552825"/>
          <a:ext cx="619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</xdr:row>
      <xdr:rowOff>0</xdr:rowOff>
    </xdr:from>
    <xdr:to>
      <xdr:col>5</xdr:col>
      <xdr:colOff>9525</xdr:colOff>
      <xdr:row>20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2352675" y="3771900"/>
          <a:ext cx="619125" cy="21907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600075</xdr:colOff>
      <xdr:row>37</xdr:row>
      <xdr:rowOff>0</xdr:rowOff>
    </xdr:from>
    <xdr:to>
      <xdr:col>5</xdr:col>
      <xdr:colOff>19050</xdr:colOff>
      <xdr:row>38</xdr:row>
      <xdr:rowOff>0</xdr:rowOff>
    </xdr:to>
    <xdr:pic>
      <xdr:nvPicPr>
        <xdr:cNvPr id="4" name="Picture 5" descr="Бу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172325"/>
          <a:ext cx="638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</xdr:row>
      <xdr:rowOff>9525</xdr:rowOff>
    </xdr:from>
    <xdr:to>
      <xdr:col>5</xdr:col>
      <xdr:colOff>19050</xdr:colOff>
      <xdr:row>35</xdr:row>
      <xdr:rowOff>9525</xdr:rowOff>
    </xdr:to>
    <xdr:sp>
      <xdr:nvSpPr>
        <xdr:cNvPr id="5" name="Rectangle 7"/>
        <xdr:cNvSpPr>
          <a:spLocks/>
        </xdr:cNvSpPr>
      </xdr:nvSpPr>
      <xdr:spPr>
        <a:xfrm>
          <a:off x="2352675" y="6648450"/>
          <a:ext cx="628650" cy="2095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0</xdr:colOff>
      <xdr:row>59</xdr:row>
      <xdr:rowOff>0</xdr:rowOff>
    </xdr:to>
    <xdr:pic>
      <xdr:nvPicPr>
        <xdr:cNvPr id="6" name="Picture 9" descr="Бу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991850"/>
          <a:ext cx="609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1</xdr:col>
      <xdr:colOff>180975</xdr:colOff>
      <xdr:row>3</xdr:row>
      <xdr:rowOff>85725</xdr:rowOff>
    </xdr:to>
    <xdr:pic>
      <xdr:nvPicPr>
        <xdr:cNvPr id="7" name="Picture 12" descr="для прайсо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10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15</xdr:row>
      <xdr:rowOff>28575</xdr:rowOff>
    </xdr:from>
    <xdr:to>
      <xdr:col>4</xdr:col>
      <xdr:colOff>609600</xdr:colOff>
      <xdr:row>15</xdr:row>
      <xdr:rowOff>266700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30003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40</xdr:row>
      <xdr:rowOff>28575</xdr:rowOff>
    </xdr:from>
    <xdr:to>
      <xdr:col>4</xdr:col>
      <xdr:colOff>609600</xdr:colOff>
      <xdr:row>40</xdr:row>
      <xdr:rowOff>266700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78295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9525</xdr:colOff>
      <xdr:row>38</xdr:row>
      <xdr:rowOff>0</xdr:rowOff>
    </xdr:to>
    <xdr:pic>
      <xdr:nvPicPr>
        <xdr:cNvPr id="10" name="Picture 1" descr="Бу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7172325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5</xdr:col>
      <xdr:colOff>9525</xdr:colOff>
      <xdr:row>59</xdr:row>
      <xdr:rowOff>0</xdr:rowOff>
    </xdr:to>
    <xdr:pic>
      <xdr:nvPicPr>
        <xdr:cNvPr id="11" name="Picture 1" descr="Бу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991850"/>
          <a:ext cx="619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61</xdr:row>
      <xdr:rowOff>28575</xdr:rowOff>
    </xdr:from>
    <xdr:to>
      <xdr:col>4</xdr:col>
      <xdr:colOff>609600</xdr:colOff>
      <xdr:row>61</xdr:row>
      <xdr:rowOff>266700</xdr:rowOff>
    </xdr:to>
    <xdr:pic>
      <xdr:nvPicPr>
        <xdr:cNvPr id="12" name="Рисунок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62200" y="116014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1"/>
  <sheetViews>
    <sheetView tabSelected="1" view="pageBreakPreview" zoomScale="85" zoomScaleSheetLayoutView="85" zoomScalePageLayoutView="0" workbookViewId="0" topLeftCell="A1">
      <pane ySplit="6" topLeftCell="A130" activePane="bottomLeft" state="frozen"/>
      <selection pane="topLeft" activeCell="A1" sqref="A1"/>
      <selection pane="bottomLeft" activeCell="E140" sqref="E140"/>
    </sheetView>
  </sheetViews>
  <sheetFormatPr defaultColWidth="9.140625" defaultRowHeight="12.75"/>
  <cols>
    <col min="1" max="1" width="17.8515625" style="140" customWidth="1"/>
    <col min="2" max="2" width="12.57421875" style="46" customWidth="1"/>
    <col min="3" max="3" width="14.28125" style="66" customWidth="1"/>
    <col min="4" max="4" width="18.421875" style="2" customWidth="1"/>
    <col min="5" max="5" width="6.28125" style="2" customWidth="1"/>
    <col min="6" max="6" width="32.421875" style="2" customWidth="1"/>
    <col min="7" max="7" width="4.28125" style="2" customWidth="1"/>
    <col min="8" max="8" width="7.140625" style="121" customWidth="1"/>
    <col min="9" max="9" width="10.421875" style="45" customWidth="1"/>
    <col min="10" max="10" width="8.8515625" style="46" customWidth="1"/>
    <col min="11" max="11" width="16.8515625" style="46" customWidth="1"/>
    <col min="12" max="12" width="15.421875" style="46" customWidth="1"/>
    <col min="13" max="13" width="16.421875" style="47" customWidth="1"/>
    <col min="14" max="14" width="9.00390625" style="130" customWidth="1"/>
    <col min="15" max="15" width="8.421875" style="114" customWidth="1"/>
    <col min="16" max="16" width="11.00390625" style="16" customWidth="1"/>
    <col min="17" max="17" width="9.8515625" style="2" bestFit="1" customWidth="1"/>
    <col min="18" max="16384" width="9.140625" style="2" customWidth="1"/>
  </cols>
  <sheetData>
    <row r="1" spans="6:17" ht="15" customHeight="1">
      <c r="F1" s="202" t="s">
        <v>632</v>
      </c>
      <c r="G1" s="202"/>
      <c r="H1" s="202"/>
      <c r="I1" s="202"/>
      <c r="J1" s="202"/>
      <c r="K1" s="202"/>
      <c r="L1" s="202"/>
      <c r="M1" s="202"/>
      <c r="N1" s="202"/>
      <c r="O1" s="202"/>
      <c r="P1" s="3"/>
      <c r="Q1" s="4"/>
    </row>
    <row r="2" spans="6:17" ht="15" customHeight="1"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3"/>
      <c r="Q2" s="4"/>
    </row>
    <row r="3" spans="1:17" ht="12.75" customHeight="1">
      <c r="A3" s="141"/>
      <c r="B3" s="100"/>
      <c r="C3" s="204" t="s">
        <v>547</v>
      </c>
      <c r="D3" s="204"/>
      <c r="E3" s="204"/>
      <c r="F3" s="205" t="s">
        <v>548</v>
      </c>
      <c r="G3" s="205"/>
      <c r="H3" s="205"/>
      <c r="I3" s="205"/>
      <c r="J3" s="205"/>
      <c r="K3" s="205"/>
      <c r="L3" s="205"/>
      <c r="M3" s="205"/>
      <c r="N3" s="206">
        <v>43405</v>
      </c>
      <c r="O3" s="207"/>
      <c r="P3" s="3"/>
      <c r="Q3" s="4"/>
    </row>
    <row r="4" spans="1:17" ht="17.25" customHeight="1">
      <c r="A4" s="151" t="s">
        <v>0</v>
      </c>
      <c r="B4" s="151"/>
      <c r="C4" s="159" t="s">
        <v>618</v>
      </c>
      <c r="D4" s="177" t="s">
        <v>619</v>
      </c>
      <c r="E4" s="178"/>
      <c r="F4" s="151" t="s">
        <v>153</v>
      </c>
      <c r="G4" s="151" t="s">
        <v>228</v>
      </c>
      <c r="H4" s="186"/>
      <c r="I4" s="151" t="s">
        <v>1</v>
      </c>
      <c r="J4" s="151" t="s">
        <v>4</v>
      </c>
      <c r="K4" s="151" t="s">
        <v>3</v>
      </c>
      <c r="L4" s="208" t="s">
        <v>452</v>
      </c>
      <c r="M4" s="209"/>
      <c r="N4" s="174" t="s">
        <v>148</v>
      </c>
      <c r="O4" s="151" t="s">
        <v>2</v>
      </c>
      <c r="P4" s="3"/>
      <c r="Q4" s="4"/>
    </row>
    <row r="5" spans="1:17" ht="15" customHeight="1">
      <c r="A5" s="173"/>
      <c r="B5" s="184"/>
      <c r="C5" s="183"/>
      <c r="D5" s="179"/>
      <c r="E5" s="180"/>
      <c r="F5" s="173"/>
      <c r="G5" s="173"/>
      <c r="H5" s="187"/>
      <c r="I5" s="173"/>
      <c r="J5" s="173"/>
      <c r="K5" s="173"/>
      <c r="L5" s="192" t="s">
        <v>453</v>
      </c>
      <c r="M5" s="203"/>
      <c r="N5" s="175"/>
      <c r="O5" s="173"/>
      <c r="P5" s="3"/>
      <c r="Q5" s="4"/>
    </row>
    <row r="6" spans="1:17" ht="69" customHeight="1">
      <c r="A6" s="163"/>
      <c r="B6" s="185"/>
      <c r="C6" s="160"/>
      <c r="D6" s="181"/>
      <c r="E6" s="182"/>
      <c r="F6" s="163"/>
      <c r="G6" s="163"/>
      <c r="H6" s="109" t="s">
        <v>149</v>
      </c>
      <c r="I6" s="163"/>
      <c r="J6" s="163"/>
      <c r="K6" s="163"/>
      <c r="L6" s="62" t="s">
        <v>40</v>
      </c>
      <c r="M6" s="62" t="s">
        <v>41</v>
      </c>
      <c r="N6" s="176"/>
      <c r="O6" s="163"/>
      <c r="P6" s="3"/>
      <c r="Q6" s="4"/>
    </row>
    <row r="7" spans="1:17" ht="12.75">
      <c r="A7" s="145" t="s">
        <v>556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3"/>
      <c r="Q7" s="4"/>
    </row>
    <row r="8" spans="1:17" ht="21.75" customHeight="1">
      <c r="A8" s="105" t="s">
        <v>155</v>
      </c>
      <c r="B8" s="106" t="s">
        <v>549</v>
      </c>
      <c r="C8" s="69"/>
      <c r="D8" s="68" t="s">
        <v>668</v>
      </c>
      <c r="E8" s="68">
        <v>6</v>
      </c>
      <c r="F8" s="54" t="s">
        <v>154</v>
      </c>
      <c r="G8" s="55" t="s">
        <v>227</v>
      </c>
      <c r="H8" s="108">
        <v>2760</v>
      </c>
      <c r="I8" s="55" t="s">
        <v>42</v>
      </c>
      <c r="J8" s="55">
        <v>1</v>
      </c>
      <c r="K8" s="55" t="s">
        <v>37</v>
      </c>
      <c r="L8" s="55" t="s">
        <v>65</v>
      </c>
      <c r="M8" s="55"/>
      <c r="N8" s="125">
        <v>28</v>
      </c>
      <c r="O8" s="125">
        <f>0.68*0.5*0.13</f>
        <v>0.0442</v>
      </c>
      <c r="P8" s="5"/>
      <c r="Q8" s="4"/>
    </row>
    <row r="9" spans="1:17" ht="21.75" customHeight="1">
      <c r="A9" s="105" t="s">
        <v>157</v>
      </c>
      <c r="B9" s="106" t="s">
        <v>549</v>
      </c>
      <c r="C9" s="69"/>
      <c r="D9" s="68" t="s">
        <v>668</v>
      </c>
      <c r="E9" s="70">
        <v>6</v>
      </c>
      <c r="F9" s="54" t="s">
        <v>156</v>
      </c>
      <c r="G9" s="55" t="s">
        <v>227</v>
      </c>
      <c r="H9" s="108">
        <v>3930</v>
      </c>
      <c r="I9" s="55" t="s">
        <v>42</v>
      </c>
      <c r="J9" s="55">
        <v>1</v>
      </c>
      <c r="K9" s="55" t="s">
        <v>38</v>
      </c>
      <c r="L9" s="55" t="s">
        <v>66</v>
      </c>
      <c r="M9" s="55"/>
      <c r="N9" s="125">
        <v>40</v>
      </c>
      <c r="O9" s="125">
        <f>0.96*0.5*0.12</f>
        <v>0.0576</v>
      </c>
      <c r="P9" s="5"/>
      <c r="Q9" s="4"/>
    </row>
    <row r="10" spans="1:17" ht="22.5" customHeight="1">
      <c r="A10" s="105" t="s">
        <v>610</v>
      </c>
      <c r="B10" s="106" t="s">
        <v>549</v>
      </c>
      <c r="C10" s="69"/>
      <c r="D10" s="70" t="s">
        <v>612</v>
      </c>
      <c r="E10" s="70">
        <v>6</v>
      </c>
      <c r="F10" s="54" t="s">
        <v>230</v>
      </c>
      <c r="G10" s="55" t="s">
        <v>227</v>
      </c>
      <c r="H10" s="108">
        <v>6110</v>
      </c>
      <c r="I10" s="55" t="s">
        <v>42</v>
      </c>
      <c r="J10" s="55">
        <v>2</v>
      </c>
      <c r="K10" s="55" t="s">
        <v>12</v>
      </c>
      <c r="L10" s="55" t="s">
        <v>67</v>
      </c>
      <c r="M10" s="55" t="s">
        <v>68</v>
      </c>
      <c r="N10" s="125">
        <v>53.4</v>
      </c>
      <c r="O10" s="125">
        <f>(1.93*0.4*0.09)+(1.85*0.4*0.04)</f>
        <v>0.09908</v>
      </c>
      <c r="P10" s="5"/>
      <c r="Q10" s="4"/>
    </row>
    <row r="11" spans="1:17" ht="18" customHeight="1">
      <c r="A11" s="105" t="s">
        <v>158</v>
      </c>
      <c r="B11" s="106" t="s">
        <v>549</v>
      </c>
      <c r="C11" s="69"/>
      <c r="D11" s="70" t="s">
        <v>612</v>
      </c>
      <c r="E11" s="70">
        <v>6</v>
      </c>
      <c r="F11" s="54" t="s">
        <v>235</v>
      </c>
      <c r="G11" s="55" t="s">
        <v>227</v>
      </c>
      <c r="H11" s="108">
        <v>3510</v>
      </c>
      <c r="I11" s="55" t="s">
        <v>42</v>
      </c>
      <c r="J11" s="55">
        <v>1</v>
      </c>
      <c r="K11" s="55" t="s">
        <v>13</v>
      </c>
      <c r="L11" s="55" t="s">
        <v>67</v>
      </c>
      <c r="M11" s="55"/>
      <c r="N11" s="125">
        <v>34</v>
      </c>
      <c r="O11" s="125">
        <f>1.93*0.4*0.09</f>
        <v>0.06948</v>
      </c>
      <c r="P11" s="5"/>
      <c r="Q11" s="4"/>
    </row>
    <row r="12" spans="1:17" ht="18" customHeight="1">
      <c r="A12" s="105" t="s">
        <v>159</v>
      </c>
      <c r="B12" s="106" t="s">
        <v>550</v>
      </c>
      <c r="C12" s="69" t="s">
        <v>614</v>
      </c>
      <c r="D12" s="70" t="s">
        <v>669</v>
      </c>
      <c r="E12" s="70">
        <v>6</v>
      </c>
      <c r="F12" s="54" t="s">
        <v>328</v>
      </c>
      <c r="G12" s="55" t="s">
        <v>227</v>
      </c>
      <c r="H12" s="108">
        <v>7020</v>
      </c>
      <c r="I12" s="55" t="s">
        <v>42</v>
      </c>
      <c r="J12" s="55">
        <v>2</v>
      </c>
      <c r="K12" s="55" t="s">
        <v>14</v>
      </c>
      <c r="L12" s="55" t="s">
        <v>130</v>
      </c>
      <c r="M12" s="55" t="s">
        <v>229</v>
      </c>
      <c r="N12" s="125">
        <v>57</v>
      </c>
      <c r="O12" s="125">
        <f>(1.93*0.35*0.09)+(1.57*0.3*0.045)</f>
        <v>0.08199</v>
      </c>
      <c r="P12" s="5"/>
      <c r="Q12" s="4"/>
    </row>
    <row r="13" spans="1:17" ht="18" customHeight="1">
      <c r="A13" s="105" t="s">
        <v>160</v>
      </c>
      <c r="B13" s="106" t="s">
        <v>549</v>
      </c>
      <c r="C13" s="69"/>
      <c r="D13" s="70" t="s">
        <v>612</v>
      </c>
      <c r="E13" s="70">
        <v>6</v>
      </c>
      <c r="F13" s="54" t="s">
        <v>231</v>
      </c>
      <c r="G13" s="55" t="s">
        <v>227</v>
      </c>
      <c r="H13" s="108">
        <v>2845</v>
      </c>
      <c r="I13" s="55" t="s">
        <v>42</v>
      </c>
      <c r="J13" s="55">
        <v>1</v>
      </c>
      <c r="K13" s="55" t="s">
        <v>329</v>
      </c>
      <c r="L13" s="55" t="s">
        <v>69</v>
      </c>
      <c r="M13" s="55"/>
      <c r="N13" s="125">
        <v>24</v>
      </c>
      <c r="O13" s="125">
        <f>0.74*0.41*0.13</f>
        <v>0.039442000000000005</v>
      </c>
      <c r="P13" s="5"/>
      <c r="Q13" s="4"/>
    </row>
    <row r="14" spans="1:17" ht="22.5" customHeight="1">
      <c r="A14" s="105" t="s">
        <v>289</v>
      </c>
      <c r="B14" s="106" t="s">
        <v>549</v>
      </c>
      <c r="C14" s="69"/>
      <c r="D14" s="70" t="s">
        <v>612</v>
      </c>
      <c r="E14" s="70">
        <v>6</v>
      </c>
      <c r="F14" s="54" t="s">
        <v>290</v>
      </c>
      <c r="G14" s="55" t="s">
        <v>247</v>
      </c>
      <c r="H14" s="108">
        <v>3510</v>
      </c>
      <c r="I14" s="55" t="s">
        <v>42</v>
      </c>
      <c r="J14" s="55">
        <v>1</v>
      </c>
      <c r="K14" s="55" t="s">
        <v>291</v>
      </c>
      <c r="L14" s="55" t="s">
        <v>509</v>
      </c>
      <c r="M14" s="55"/>
      <c r="N14" s="125">
        <v>30.4</v>
      </c>
      <c r="O14" s="125">
        <v>0.07</v>
      </c>
      <c r="P14" s="6"/>
      <c r="Q14" s="4"/>
    </row>
    <row r="15" spans="1:17" ht="18" customHeight="1">
      <c r="A15" s="105" t="s">
        <v>161</v>
      </c>
      <c r="B15" s="106" t="s">
        <v>549</v>
      </c>
      <c r="C15" s="69"/>
      <c r="D15" s="70" t="s">
        <v>612</v>
      </c>
      <c r="E15" s="70">
        <v>6</v>
      </c>
      <c r="F15" s="54" t="s">
        <v>644</v>
      </c>
      <c r="G15" s="55" t="s">
        <v>227</v>
      </c>
      <c r="H15" s="108">
        <v>5850</v>
      </c>
      <c r="I15" s="55" t="s">
        <v>42</v>
      </c>
      <c r="J15" s="55">
        <v>1</v>
      </c>
      <c r="K15" s="55" t="s">
        <v>12</v>
      </c>
      <c r="L15" s="55" t="s">
        <v>70</v>
      </c>
      <c r="M15" s="55"/>
      <c r="N15" s="125">
        <v>54.1</v>
      </c>
      <c r="O15" s="125">
        <f>1.93*0.41*0.13</f>
        <v>0.10286899999999999</v>
      </c>
      <c r="P15" s="5"/>
      <c r="Q15" s="4"/>
    </row>
    <row r="16" spans="1:17" ht="18" customHeight="1">
      <c r="A16" s="105" t="s">
        <v>643</v>
      </c>
      <c r="B16" s="106" t="s">
        <v>550</v>
      </c>
      <c r="C16" s="69" t="s">
        <v>670</v>
      </c>
      <c r="D16" s="70" t="s">
        <v>615</v>
      </c>
      <c r="E16" s="70">
        <v>6</v>
      </c>
      <c r="F16" s="54" t="s">
        <v>330</v>
      </c>
      <c r="G16" s="55" t="s">
        <v>227</v>
      </c>
      <c r="H16" s="108">
        <v>5850</v>
      </c>
      <c r="I16" s="55" t="s">
        <v>42</v>
      </c>
      <c r="J16" s="55">
        <v>1</v>
      </c>
      <c r="K16" s="55" t="s">
        <v>12</v>
      </c>
      <c r="L16" s="55" t="s">
        <v>70</v>
      </c>
      <c r="M16" s="55"/>
      <c r="N16" s="125">
        <v>54</v>
      </c>
      <c r="O16" s="125">
        <f>1.93*0.41*0.13</f>
        <v>0.10286899999999999</v>
      </c>
      <c r="P16" s="5"/>
      <c r="Q16" s="4"/>
    </row>
    <row r="17" spans="1:17" ht="16.5" customHeight="1">
      <c r="A17" s="105" t="s">
        <v>162</v>
      </c>
      <c r="B17" s="106" t="s">
        <v>550</v>
      </c>
      <c r="C17" s="69" t="s">
        <v>671</v>
      </c>
      <c r="D17" s="70" t="s">
        <v>612</v>
      </c>
      <c r="E17" s="70">
        <v>6</v>
      </c>
      <c r="F17" s="54" t="s">
        <v>232</v>
      </c>
      <c r="G17" s="55" t="s">
        <v>227</v>
      </c>
      <c r="H17" s="108">
        <v>6520</v>
      </c>
      <c r="I17" s="55" t="s">
        <v>42</v>
      </c>
      <c r="J17" s="55">
        <v>1</v>
      </c>
      <c r="K17" s="55" t="s">
        <v>15</v>
      </c>
      <c r="L17" s="56" t="s">
        <v>71</v>
      </c>
      <c r="M17" s="55"/>
      <c r="N17" s="125">
        <v>69.9</v>
      </c>
      <c r="O17" s="126">
        <f>1.93*0.51*0.12</f>
        <v>0.11811599999999998</v>
      </c>
      <c r="P17" s="5"/>
      <c r="Q17" s="4"/>
    </row>
    <row r="18" spans="1:17" ht="24.75" customHeight="1">
      <c r="A18" s="105" t="s">
        <v>163</v>
      </c>
      <c r="B18" s="106" t="s">
        <v>549</v>
      </c>
      <c r="C18" s="69"/>
      <c r="D18" s="68" t="s">
        <v>668</v>
      </c>
      <c r="E18" s="70">
        <v>6</v>
      </c>
      <c r="F18" s="54" t="s">
        <v>331</v>
      </c>
      <c r="G18" s="55" t="s">
        <v>227</v>
      </c>
      <c r="H18" s="108">
        <v>7110</v>
      </c>
      <c r="I18" s="55" t="s">
        <v>42</v>
      </c>
      <c r="J18" s="55">
        <v>2</v>
      </c>
      <c r="K18" s="55" t="s">
        <v>16</v>
      </c>
      <c r="L18" s="55" t="s">
        <v>72</v>
      </c>
      <c r="M18" s="55" t="s">
        <v>73</v>
      </c>
      <c r="N18" s="125">
        <v>72</v>
      </c>
      <c r="O18" s="125">
        <f>(1.93*0.68*0.09)+(1.85*0.4*0.02)</f>
        <v>0.132916</v>
      </c>
      <c r="P18" s="5"/>
      <c r="Q18" s="4"/>
    </row>
    <row r="19" spans="1:17" ht="17.25" customHeight="1">
      <c r="A19" s="105" t="s">
        <v>164</v>
      </c>
      <c r="B19" s="106" t="s">
        <v>549</v>
      </c>
      <c r="C19" s="69"/>
      <c r="D19" s="68" t="s">
        <v>668</v>
      </c>
      <c r="E19" s="70">
        <v>6</v>
      </c>
      <c r="F19" s="54" t="s">
        <v>233</v>
      </c>
      <c r="G19" s="55" t="s">
        <v>227</v>
      </c>
      <c r="H19" s="108">
        <v>6350</v>
      </c>
      <c r="I19" s="55" t="s">
        <v>42</v>
      </c>
      <c r="J19" s="55">
        <v>2</v>
      </c>
      <c r="K19" s="55" t="s">
        <v>16</v>
      </c>
      <c r="L19" s="55" t="s">
        <v>72</v>
      </c>
      <c r="M19" s="55" t="s">
        <v>73</v>
      </c>
      <c r="N19" s="125">
        <v>70.5</v>
      </c>
      <c r="O19" s="125">
        <f>(1.93*0.68*0.09)+(1.85*0.4*0.02)</f>
        <v>0.132916</v>
      </c>
      <c r="P19" s="5"/>
      <c r="Q19" s="4"/>
    </row>
    <row r="20" spans="1:17" ht="24" customHeight="1">
      <c r="A20" s="105" t="s">
        <v>165</v>
      </c>
      <c r="B20" s="106" t="s">
        <v>550</v>
      </c>
      <c r="C20" s="69" t="s">
        <v>614</v>
      </c>
      <c r="D20" s="70" t="s">
        <v>669</v>
      </c>
      <c r="E20" s="70">
        <v>6</v>
      </c>
      <c r="F20" s="54" t="s">
        <v>332</v>
      </c>
      <c r="G20" s="55" t="s">
        <v>227</v>
      </c>
      <c r="H20" s="108">
        <v>8030</v>
      </c>
      <c r="I20" s="55" t="s">
        <v>42</v>
      </c>
      <c r="J20" s="55">
        <v>2</v>
      </c>
      <c r="K20" s="55" t="s">
        <v>16</v>
      </c>
      <c r="L20" s="55" t="s">
        <v>72</v>
      </c>
      <c r="M20" s="55" t="s">
        <v>73</v>
      </c>
      <c r="N20" s="125">
        <v>75.5</v>
      </c>
      <c r="O20" s="125">
        <f>(1.93*0.68*0.09)+(1.85*0.4*0.02)</f>
        <v>0.132916</v>
      </c>
      <c r="P20" s="5"/>
      <c r="Q20" s="4"/>
    </row>
    <row r="21" spans="1:17" ht="24" customHeight="1">
      <c r="A21" s="105" t="s">
        <v>166</v>
      </c>
      <c r="B21" s="106" t="s">
        <v>549</v>
      </c>
      <c r="C21" s="69"/>
      <c r="D21" s="68" t="s">
        <v>668</v>
      </c>
      <c r="E21" s="70">
        <v>6</v>
      </c>
      <c r="F21" s="54" t="s">
        <v>333</v>
      </c>
      <c r="G21" s="55" t="s">
        <v>227</v>
      </c>
      <c r="H21" s="108">
        <v>3760</v>
      </c>
      <c r="I21" s="55" t="s">
        <v>42</v>
      </c>
      <c r="J21" s="55">
        <v>2</v>
      </c>
      <c r="K21" s="55" t="s">
        <v>13</v>
      </c>
      <c r="L21" s="55" t="s">
        <v>74</v>
      </c>
      <c r="M21" s="55" t="s">
        <v>73</v>
      </c>
      <c r="N21" s="125">
        <v>33.6</v>
      </c>
      <c r="O21" s="125">
        <f>(1.93*0.39*0.07)+(1.85*0.4*0.02)</f>
        <v>0.06748900000000001</v>
      </c>
      <c r="P21" s="5"/>
      <c r="Q21" s="4"/>
    </row>
    <row r="22" spans="1:17" ht="33" customHeight="1">
      <c r="A22" s="105" t="s">
        <v>249</v>
      </c>
      <c r="B22" s="106" t="s">
        <v>549</v>
      </c>
      <c r="C22" s="69"/>
      <c r="D22" s="68" t="s">
        <v>668</v>
      </c>
      <c r="E22" s="70">
        <v>6</v>
      </c>
      <c r="F22" s="54" t="s">
        <v>250</v>
      </c>
      <c r="G22" s="55" t="s">
        <v>227</v>
      </c>
      <c r="H22" s="108">
        <v>6350</v>
      </c>
      <c r="I22" s="55" t="s">
        <v>42</v>
      </c>
      <c r="J22" s="55">
        <v>1</v>
      </c>
      <c r="K22" s="55" t="s">
        <v>12</v>
      </c>
      <c r="L22" s="55" t="s">
        <v>251</v>
      </c>
      <c r="M22" s="55"/>
      <c r="N22" s="125">
        <v>57</v>
      </c>
      <c r="O22" s="125">
        <f>1.93*0.4*0.11</f>
        <v>0.08492000000000001</v>
      </c>
      <c r="P22" s="5"/>
      <c r="Q22" s="4"/>
    </row>
    <row r="23" spans="1:17" ht="24.75" customHeight="1">
      <c r="A23" s="105" t="s">
        <v>167</v>
      </c>
      <c r="B23" s="106" t="s">
        <v>549</v>
      </c>
      <c r="C23" s="69"/>
      <c r="D23" s="68" t="s">
        <v>668</v>
      </c>
      <c r="E23" s="70">
        <v>6</v>
      </c>
      <c r="F23" s="54" t="s">
        <v>234</v>
      </c>
      <c r="G23" s="55" t="s">
        <v>227</v>
      </c>
      <c r="H23" s="108">
        <v>3010</v>
      </c>
      <c r="I23" s="55" t="s">
        <v>42</v>
      </c>
      <c r="J23" s="55">
        <v>1</v>
      </c>
      <c r="K23" s="55" t="s">
        <v>13</v>
      </c>
      <c r="L23" s="55" t="s">
        <v>67</v>
      </c>
      <c r="M23" s="55"/>
      <c r="N23" s="125">
        <v>28.8</v>
      </c>
      <c r="O23" s="125">
        <f>1.93*0.4*0.09</f>
        <v>0.06948</v>
      </c>
      <c r="P23" s="5"/>
      <c r="Q23" s="4"/>
    </row>
    <row r="24" spans="1:17" ht="18" customHeight="1">
      <c r="A24" s="105" t="s">
        <v>168</v>
      </c>
      <c r="B24" s="106" t="s">
        <v>550</v>
      </c>
      <c r="C24" s="69" t="s">
        <v>614</v>
      </c>
      <c r="D24" s="70" t="s">
        <v>669</v>
      </c>
      <c r="E24" s="70">
        <v>6</v>
      </c>
      <c r="F24" s="54" t="s">
        <v>335</v>
      </c>
      <c r="G24" s="55" t="s">
        <v>227</v>
      </c>
      <c r="H24" s="108">
        <v>1920</v>
      </c>
      <c r="I24" s="55" t="s">
        <v>42</v>
      </c>
      <c r="J24" s="55">
        <v>1</v>
      </c>
      <c r="K24" s="55" t="s">
        <v>43</v>
      </c>
      <c r="L24" s="55" t="s">
        <v>131</v>
      </c>
      <c r="M24" s="55"/>
      <c r="N24" s="125">
        <v>17.5</v>
      </c>
      <c r="O24" s="126">
        <f>(0.715*0.41*0.11)</f>
        <v>0.0322465</v>
      </c>
      <c r="P24" s="5"/>
      <c r="Q24" s="4"/>
    </row>
    <row r="25" spans="1:17" ht="24" customHeight="1">
      <c r="A25" s="105" t="s">
        <v>169</v>
      </c>
      <c r="B25" s="106" t="s">
        <v>550</v>
      </c>
      <c r="C25" s="69" t="s">
        <v>671</v>
      </c>
      <c r="D25" s="70" t="s">
        <v>612</v>
      </c>
      <c r="E25" s="70">
        <v>12</v>
      </c>
      <c r="F25" s="54" t="s">
        <v>336</v>
      </c>
      <c r="G25" s="55" t="s">
        <v>227</v>
      </c>
      <c r="H25" s="108">
        <v>6110</v>
      </c>
      <c r="I25" s="55" t="s">
        <v>42</v>
      </c>
      <c r="J25" s="55">
        <v>2</v>
      </c>
      <c r="K25" s="55" t="s">
        <v>12</v>
      </c>
      <c r="L25" s="55" t="s">
        <v>251</v>
      </c>
      <c r="M25" s="55" t="s">
        <v>75</v>
      </c>
      <c r="N25" s="125">
        <v>53.6</v>
      </c>
      <c r="O25" s="125">
        <f>(1.93*0.4*0.11)+(1.16*0.4*0.04)</f>
        <v>0.10348000000000002</v>
      </c>
      <c r="P25" s="5"/>
      <c r="Q25" s="4"/>
    </row>
    <row r="26" spans="1:17" ht="24" customHeight="1">
      <c r="A26" s="105" t="s">
        <v>170</v>
      </c>
      <c r="B26" s="106" t="s">
        <v>549</v>
      </c>
      <c r="C26" s="69"/>
      <c r="D26" s="68" t="s">
        <v>668</v>
      </c>
      <c r="E26" s="70">
        <v>6</v>
      </c>
      <c r="F26" s="54" t="s">
        <v>334</v>
      </c>
      <c r="G26" s="55" t="s">
        <v>227</v>
      </c>
      <c r="H26" s="108">
        <v>6550</v>
      </c>
      <c r="I26" s="55" t="s">
        <v>42</v>
      </c>
      <c r="J26" s="55">
        <v>2</v>
      </c>
      <c r="K26" s="55" t="s">
        <v>12</v>
      </c>
      <c r="L26" s="55" t="s">
        <v>251</v>
      </c>
      <c r="M26" s="55" t="s">
        <v>75</v>
      </c>
      <c r="N26" s="125">
        <v>52.65</v>
      </c>
      <c r="O26" s="125">
        <f>(1.93*0.4*0.11)+(1.16*0.4*0.04)</f>
        <v>0.10348000000000002</v>
      </c>
      <c r="P26" s="5"/>
      <c r="Q26" s="4"/>
    </row>
    <row r="27" spans="1:17" ht="23.25" customHeight="1">
      <c r="A27" s="105" t="s">
        <v>171</v>
      </c>
      <c r="B27" s="106" t="s">
        <v>550</v>
      </c>
      <c r="C27" s="69" t="s">
        <v>671</v>
      </c>
      <c r="D27" s="70" t="s">
        <v>612</v>
      </c>
      <c r="E27" s="70">
        <v>6</v>
      </c>
      <c r="F27" s="54" t="s">
        <v>337</v>
      </c>
      <c r="G27" s="55" t="s">
        <v>227</v>
      </c>
      <c r="H27" s="108">
        <v>4630</v>
      </c>
      <c r="I27" s="55" t="s">
        <v>42</v>
      </c>
      <c r="J27" s="55">
        <v>1</v>
      </c>
      <c r="K27" s="55" t="s">
        <v>12</v>
      </c>
      <c r="L27" s="55" t="s">
        <v>251</v>
      </c>
      <c r="M27" s="55"/>
      <c r="N27" s="125">
        <v>43.9</v>
      </c>
      <c r="O27" s="125">
        <f>1.93*0.4*0.11</f>
        <v>0.08492000000000001</v>
      </c>
      <c r="P27" s="5"/>
      <c r="Q27" s="4"/>
    </row>
    <row r="28" spans="1:17" ht="18" customHeight="1">
      <c r="A28" s="105" t="s">
        <v>172</v>
      </c>
      <c r="B28" s="106" t="s">
        <v>549</v>
      </c>
      <c r="C28" s="69"/>
      <c r="D28" s="68" t="s">
        <v>668</v>
      </c>
      <c r="E28" s="70">
        <v>6</v>
      </c>
      <c r="F28" s="54" t="s">
        <v>240</v>
      </c>
      <c r="G28" s="55" t="s">
        <v>227</v>
      </c>
      <c r="H28" s="108">
        <v>2170</v>
      </c>
      <c r="I28" s="55" t="s">
        <v>42</v>
      </c>
      <c r="J28" s="55">
        <v>1</v>
      </c>
      <c r="K28" s="55" t="s">
        <v>17</v>
      </c>
      <c r="L28" s="55" t="s">
        <v>76</v>
      </c>
      <c r="M28" s="55"/>
      <c r="N28" s="125">
        <v>19</v>
      </c>
      <c r="O28" s="125">
        <f>0.81*0.48*0.1</f>
        <v>0.038880000000000005</v>
      </c>
      <c r="P28" s="5"/>
      <c r="Q28" s="4"/>
    </row>
    <row r="29" spans="1:17" ht="18" customHeight="1">
      <c r="A29" s="105" t="s">
        <v>173</v>
      </c>
      <c r="B29" s="106" t="s">
        <v>549</v>
      </c>
      <c r="C29" s="69"/>
      <c r="D29" s="68" t="s">
        <v>668</v>
      </c>
      <c r="E29" s="70">
        <v>6</v>
      </c>
      <c r="F29" s="54" t="s">
        <v>241</v>
      </c>
      <c r="G29" s="55" t="s">
        <v>227</v>
      </c>
      <c r="H29" s="108">
        <v>2590</v>
      </c>
      <c r="I29" s="55" t="s">
        <v>42</v>
      </c>
      <c r="J29" s="55">
        <v>1</v>
      </c>
      <c r="K29" s="55" t="s">
        <v>18</v>
      </c>
      <c r="L29" s="55" t="s">
        <v>77</v>
      </c>
      <c r="M29" s="55"/>
      <c r="N29" s="125">
        <v>24.6</v>
      </c>
      <c r="O29" s="125">
        <f>0.81*0.51*0.1</f>
        <v>0.041310000000000006</v>
      </c>
      <c r="P29" s="5"/>
      <c r="Q29" s="4"/>
    </row>
    <row r="30" spans="1:17" ht="15.75" customHeight="1">
      <c r="A30" s="105" t="s">
        <v>292</v>
      </c>
      <c r="B30" s="106" t="s">
        <v>549</v>
      </c>
      <c r="C30" s="69"/>
      <c r="D30" s="68" t="s">
        <v>668</v>
      </c>
      <c r="E30" s="70">
        <v>6</v>
      </c>
      <c r="F30" s="57" t="s">
        <v>338</v>
      </c>
      <c r="G30" s="58" t="s">
        <v>247</v>
      </c>
      <c r="H30" s="108">
        <v>3760</v>
      </c>
      <c r="I30" s="56" t="s">
        <v>42</v>
      </c>
      <c r="J30" s="56">
        <v>1</v>
      </c>
      <c r="K30" s="56" t="s">
        <v>291</v>
      </c>
      <c r="L30" s="56" t="s">
        <v>459</v>
      </c>
      <c r="M30" s="53"/>
      <c r="N30" s="126">
        <v>33.6</v>
      </c>
      <c r="O30" s="110">
        <v>0.07</v>
      </c>
      <c r="P30" s="5"/>
      <c r="Q30" s="4"/>
    </row>
    <row r="31" spans="1:17" ht="36.75" customHeight="1">
      <c r="A31" s="105" t="s">
        <v>293</v>
      </c>
      <c r="B31" s="106" t="s">
        <v>549</v>
      </c>
      <c r="C31" s="69"/>
      <c r="D31" s="68" t="s">
        <v>668</v>
      </c>
      <c r="E31" s="70">
        <v>6</v>
      </c>
      <c r="F31" s="57" t="s">
        <v>339</v>
      </c>
      <c r="G31" s="58" t="s">
        <v>247</v>
      </c>
      <c r="H31" s="108">
        <v>4340</v>
      </c>
      <c r="I31" s="56" t="s">
        <v>42</v>
      </c>
      <c r="J31" s="56">
        <v>1</v>
      </c>
      <c r="K31" s="56" t="s">
        <v>295</v>
      </c>
      <c r="L31" s="56" t="s">
        <v>460</v>
      </c>
      <c r="M31" s="53"/>
      <c r="N31" s="126">
        <v>40.2</v>
      </c>
      <c r="O31" s="110">
        <v>0.09</v>
      </c>
      <c r="P31" s="5"/>
      <c r="Q31" s="4"/>
    </row>
    <row r="32" spans="1:17" ht="26.25" customHeight="1">
      <c r="A32" s="105" t="s">
        <v>294</v>
      </c>
      <c r="B32" s="106" t="s">
        <v>549</v>
      </c>
      <c r="C32" s="69"/>
      <c r="D32" s="68" t="s">
        <v>668</v>
      </c>
      <c r="E32" s="70">
        <v>6</v>
      </c>
      <c r="F32" s="57" t="s">
        <v>340</v>
      </c>
      <c r="G32" s="58" t="s">
        <v>247</v>
      </c>
      <c r="H32" s="108">
        <v>5010</v>
      </c>
      <c r="I32" s="56" t="s">
        <v>42</v>
      </c>
      <c r="J32" s="56">
        <v>1</v>
      </c>
      <c r="K32" s="56" t="s">
        <v>12</v>
      </c>
      <c r="L32" s="56" t="s">
        <v>461</v>
      </c>
      <c r="M32" s="53"/>
      <c r="N32" s="126">
        <v>47.1</v>
      </c>
      <c r="O32" s="110">
        <v>0.09</v>
      </c>
      <c r="P32" s="5"/>
      <c r="Q32" s="4"/>
    </row>
    <row r="33" spans="1:17" ht="15" customHeight="1">
      <c r="A33" s="148" t="s">
        <v>557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50"/>
      <c r="P33" s="3"/>
      <c r="Q33" s="4"/>
    </row>
    <row r="34" spans="1:17" ht="24.75" customHeight="1">
      <c r="A34" s="103" t="s">
        <v>252</v>
      </c>
      <c r="B34" s="62"/>
      <c r="C34" s="69"/>
      <c r="D34" s="68"/>
      <c r="E34" s="68"/>
      <c r="F34" s="59" t="s">
        <v>255</v>
      </c>
      <c r="G34" s="56" t="s">
        <v>227</v>
      </c>
      <c r="H34" s="111"/>
      <c r="I34" s="55" t="s">
        <v>61</v>
      </c>
      <c r="J34" s="56">
        <v>1</v>
      </c>
      <c r="K34" s="55" t="s">
        <v>64</v>
      </c>
      <c r="L34" s="55" t="s">
        <v>64</v>
      </c>
      <c r="M34" s="55"/>
      <c r="N34" s="125" t="s">
        <v>64</v>
      </c>
      <c r="O34" s="125" t="s">
        <v>64</v>
      </c>
      <c r="P34" s="6"/>
      <c r="Q34" s="4"/>
    </row>
    <row r="35" spans="1:17" ht="21.75" customHeight="1">
      <c r="A35" s="103" t="s">
        <v>253</v>
      </c>
      <c r="B35" s="62"/>
      <c r="C35" s="69"/>
      <c r="D35" s="68"/>
      <c r="E35" s="68"/>
      <c r="F35" s="54" t="s">
        <v>257</v>
      </c>
      <c r="G35" s="56" t="s">
        <v>227</v>
      </c>
      <c r="H35" s="111"/>
      <c r="I35" s="55"/>
      <c r="J35" s="56"/>
      <c r="K35" s="55" t="s">
        <v>64</v>
      </c>
      <c r="L35" s="55" t="s">
        <v>64</v>
      </c>
      <c r="M35" s="55"/>
      <c r="N35" s="125" t="s">
        <v>64</v>
      </c>
      <c r="O35" s="125" t="s">
        <v>64</v>
      </c>
      <c r="P35" s="6"/>
      <c r="Q35" s="4"/>
    </row>
    <row r="36" spans="1:17" ht="24.75" customHeight="1">
      <c r="A36" s="103" t="s">
        <v>254</v>
      </c>
      <c r="B36" s="62"/>
      <c r="C36" s="69"/>
      <c r="D36" s="68"/>
      <c r="E36" s="68"/>
      <c r="F36" s="59" t="s">
        <v>256</v>
      </c>
      <c r="G36" s="56" t="s">
        <v>227</v>
      </c>
      <c r="H36" s="111"/>
      <c r="I36" s="55" t="s">
        <v>61</v>
      </c>
      <c r="J36" s="56">
        <v>1</v>
      </c>
      <c r="K36" s="55" t="s">
        <v>64</v>
      </c>
      <c r="L36" s="55" t="s">
        <v>64</v>
      </c>
      <c r="M36" s="55"/>
      <c r="N36" s="125" t="s">
        <v>64</v>
      </c>
      <c r="O36" s="125" t="s">
        <v>64</v>
      </c>
      <c r="P36" s="6"/>
      <c r="Q36" s="4"/>
    </row>
    <row r="37" spans="1:17" ht="15" customHeight="1">
      <c r="A37" s="145" t="s">
        <v>558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3"/>
      <c r="Q37" s="4"/>
    </row>
    <row r="38" spans="1:17" ht="18" customHeight="1">
      <c r="A38" s="105" t="s">
        <v>174</v>
      </c>
      <c r="B38" s="106" t="s">
        <v>549</v>
      </c>
      <c r="C38" s="69"/>
      <c r="D38" s="68" t="s">
        <v>668</v>
      </c>
      <c r="E38" s="70">
        <v>6</v>
      </c>
      <c r="F38" s="54" t="s">
        <v>451</v>
      </c>
      <c r="G38" s="55" t="s">
        <v>227</v>
      </c>
      <c r="H38" s="108">
        <v>5430</v>
      </c>
      <c r="I38" s="55" t="s">
        <v>42</v>
      </c>
      <c r="J38" s="55">
        <v>1</v>
      </c>
      <c r="K38" s="55" t="s">
        <v>19</v>
      </c>
      <c r="L38" s="55" t="s">
        <v>86</v>
      </c>
      <c r="M38" s="55"/>
      <c r="N38" s="125">
        <v>54.5</v>
      </c>
      <c r="O38" s="125">
        <f>1.48*0.61*0.09</f>
        <v>0.08125199999999999</v>
      </c>
      <c r="P38" s="5"/>
      <c r="Q38" s="4"/>
    </row>
    <row r="39" spans="1:17" ht="18" customHeight="1">
      <c r="A39" s="105" t="s">
        <v>375</v>
      </c>
      <c r="B39" s="106" t="s">
        <v>549</v>
      </c>
      <c r="C39" s="69"/>
      <c r="D39" s="68" t="s">
        <v>668</v>
      </c>
      <c r="E39" s="70">
        <v>9</v>
      </c>
      <c r="F39" s="54" t="s">
        <v>429</v>
      </c>
      <c r="G39" s="55" t="s">
        <v>227</v>
      </c>
      <c r="H39" s="108">
        <v>2870</v>
      </c>
      <c r="I39" s="55" t="s">
        <v>42</v>
      </c>
      <c r="J39" s="55">
        <v>1</v>
      </c>
      <c r="K39" s="55" t="s">
        <v>473</v>
      </c>
      <c r="L39" s="55" t="s">
        <v>474</v>
      </c>
      <c r="M39" s="55"/>
      <c r="N39" s="125">
        <v>30</v>
      </c>
      <c r="O39" s="125">
        <v>0.078</v>
      </c>
      <c r="P39" s="5"/>
      <c r="Q39" s="4"/>
    </row>
    <row r="40" spans="1:17" ht="18" customHeight="1">
      <c r="A40" s="105" t="s">
        <v>175</v>
      </c>
      <c r="B40" s="106" t="s">
        <v>550</v>
      </c>
      <c r="C40" s="69" t="s">
        <v>671</v>
      </c>
      <c r="D40" s="70" t="s">
        <v>612</v>
      </c>
      <c r="E40" s="70">
        <v>6</v>
      </c>
      <c r="F40" s="54" t="s">
        <v>341</v>
      </c>
      <c r="G40" s="55" t="s">
        <v>227</v>
      </c>
      <c r="H40" s="108">
        <v>1920</v>
      </c>
      <c r="I40" s="55" t="s">
        <v>42</v>
      </c>
      <c r="J40" s="55">
        <v>1</v>
      </c>
      <c r="K40" s="55" t="s">
        <v>20</v>
      </c>
      <c r="L40" s="55" t="s">
        <v>87</v>
      </c>
      <c r="M40" s="55"/>
      <c r="N40" s="125">
        <v>22.5</v>
      </c>
      <c r="O40" s="125">
        <f>1.21*0.74*0.05</f>
        <v>0.044770000000000004</v>
      </c>
      <c r="P40" s="5"/>
      <c r="Q40" s="4"/>
    </row>
    <row r="41" spans="1:17" ht="25.5">
      <c r="A41" s="105" t="s">
        <v>176</v>
      </c>
      <c r="B41" s="106" t="s">
        <v>550</v>
      </c>
      <c r="C41" s="69" t="s">
        <v>670</v>
      </c>
      <c r="D41" s="70" t="s">
        <v>615</v>
      </c>
      <c r="E41" s="70">
        <v>6</v>
      </c>
      <c r="F41" s="54" t="s">
        <v>342</v>
      </c>
      <c r="G41" s="55" t="s">
        <v>227</v>
      </c>
      <c r="H41" s="108">
        <v>3680</v>
      </c>
      <c r="I41" s="55" t="s">
        <v>42</v>
      </c>
      <c r="J41" s="55">
        <v>1</v>
      </c>
      <c r="K41" s="55" t="s">
        <v>20</v>
      </c>
      <c r="L41" s="55" t="s">
        <v>88</v>
      </c>
      <c r="M41" s="55"/>
      <c r="N41" s="125">
        <v>39.5</v>
      </c>
      <c r="O41" s="125">
        <f>1.26*0.62*0.09</f>
        <v>0.070308</v>
      </c>
      <c r="P41" s="5"/>
      <c r="Q41" s="4"/>
    </row>
    <row r="42" spans="1:17" ht="24" customHeight="1">
      <c r="A42" s="105" t="s">
        <v>177</v>
      </c>
      <c r="B42" s="106" t="s">
        <v>550</v>
      </c>
      <c r="C42" s="69" t="s">
        <v>670</v>
      </c>
      <c r="D42" s="70" t="s">
        <v>615</v>
      </c>
      <c r="E42" s="70">
        <v>6</v>
      </c>
      <c r="F42" s="54" t="s">
        <v>343</v>
      </c>
      <c r="G42" s="55" t="s">
        <v>227</v>
      </c>
      <c r="H42" s="108">
        <v>2500</v>
      </c>
      <c r="I42" s="55" t="s">
        <v>42</v>
      </c>
      <c r="J42" s="55">
        <v>1</v>
      </c>
      <c r="K42" s="55" t="s">
        <v>39</v>
      </c>
      <c r="L42" s="55" t="s">
        <v>89</v>
      </c>
      <c r="M42" s="55"/>
      <c r="N42" s="125">
        <v>26.5</v>
      </c>
      <c r="O42" s="125">
        <f>1.02*0.74*0.07</f>
        <v>0.05283600000000001</v>
      </c>
      <c r="P42" s="5"/>
      <c r="Q42" s="4"/>
    </row>
    <row r="43" spans="1:17" ht="22.5" customHeight="1">
      <c r="A43" s="105" t="s">
        <v>261</v>
      </c>
      <c r="B43" s="106" t="s">
        <v>549</v>
      </c>
      <c r="C43" s="69"/>
      <c r="D43" s="68" t="s">
        <v>668</v>
      </c>
      <c r="E43" s="70">
        <v>6</v>
      </c>
      <c r="F43" s="54" t="s">
        <v>344</v>
      </c>
      <c r="G43" s="55" t="s">
        <v>227</v>
      </c>
      <c r="H43" s="108">
        <v>3010</v>
      </c>
      <c r="I43" s="55" t="s">
        <v>42</v>
      </c>
      <c r="J43" s="55">
        <v>1</v>
      </c>
      <c r="K43" s="55" t="s">
        <v>20</v>
      </c>
      <c r="L43" s="55" t="s">
        <v>426</v>
      </c>
      <c r="M43" s="55"/>
      <c r="N43" s="125">
        <v>30.7</v>
      </c>
      <c r="O43" s="125">
        <v>0.06</v>
      </c>
      <c r="P43" s="5"/>
      <c r="Q43" s="4"/>
    </row>
    <row r="44" spans="1:17" ht="21.75" customHeight="1">
      <c r="A44" s="105" t="s">
        <v>384</v>
      </c>
      <c r="B44" s="106" t="s">
        <v>549</v>
      </c>
      <c r="C44" s="69"/>
      <c r="D44" s="68" t="s">
        <v>668</v>
      </c>
      <c r="E44" s="70">
        <v>6</v>
      </c>
      <c r="F44" s="54" t="s">
        <v>386</v>
      </c>
      <c r="G44" s="55" t="s">
        <v>247</v>
      </c>
      <c r="H44" s="108">
        <v>6660</v>
      </c>
      <c r="I44" s="55" t="s">
        <v>42</v>
      </c>
      <c r="J44" s="55">
        <v>1</v>
      </c>
      <c r="K44" s="55" t="s">
        <v>388</v>
      </c>
      <c r="L44" s="55" t="s">
        <v>462</v>
      </c>
      <c r="M44" s="55"/>
      <c r="N44" s="125">
        <v>60.6</v>
      </c>
      <c r="O44" s="125">
        <v>0.12</v>
      </c>
      <c r="P44" s="5"/>
      <c r="Q44" s="4"/>
    </row>
    <row r="45" spans="1:17" ht="34.5" customHeight="1">
      <c r="A45" s="105" t="s">
        <v>385</v>
      </c>
      <c r="B45" s="106" t="s">
        <v>549</v>
      </c>
      <c r="C45" s="69"/>
      <c r="D45" s="68" t="s">
        <v>668</v>
      </c>
      <c r="E45" s="70">
        <v>6</v>
      </c>
      <c r="F45" s="54" t="s">
        <v>387</v>
      </c>
      <c r="G45" s="55" t="s">
        <v>247</v>
      </c>
      <c r="H45" s="108">
        <v>6270</v>
      </c>
      <c r="I45" s="55" t="s">
        <v>42</v>
      </c>
      <c r="J45" s="55">
        <v>1</v>
      </c>
      <c r="K45" s="55" t="s">
        <v>388</v>
      </c>
      <c r="L45" s="55" t="s">
        <v>463</v>
      </c>
      <c r="M45" s="55"/>
      <c r="N45" s="125">
        <v>59.7</v>
      </c>
      <c r="O45" s="125">
        <v>0.12</v>
      </c>
      <c r="P45" s="5"/>
      <c r="Q45" s="4"/>
    </row>
    <row r="46" spans="1:17" ht="18" customHeight="1">
      <c r="A46" s="105" t="s">
        <v>178</v>
      </c>
      <c r="B46" s="106" t="s">
        <v>549</v>
      </c>
      <c r="C46" s="69"/>
      <c r="D46" s="68" t="s">
        <v>668</v>
      </c>
      <c r="E46" s="70">
        <v>6</v>
      </c>
      <c r="F46" s="54" t="s">
        <v>345</v>
      </c>
      <c r="G46" s="55" t="s">
        <v>227</v>
      </c>
      <c r="H46" s="108">
        <v>1920</v>
      </c>
      <c r="I46" s="55" t="s">
        <v>42</v>
      </c>
      <c r="J46" s="55">
        <v>1</v>
      </c>
      <c r="K46" s="55" t="s">
        <v>44</v>
      </c>
      <c r="L46" s="55" t="s">
        <v>90</v>
      </c>
      <c r="M46" s="55"/>
      <c r="N46" s="125">
        <v>18</v>
      </c>
      <c r="O46" s="125">
        <f>1.055*0.65*0.06</f>
        <v>0.041144999999999994</v>
      </c>
      <c r="P46" s="5"/>
      <c r="Q46" s="4"/>
    </row>
    <row r="47" spans="1:17" ht="18" customHeight="1">
      <c r="A47" s="105" t="s">
        <v>179</v>
      </c>
      <c r="B47" s="106" t="s">
        <v>549</v>
      </c>
      <c r="C47" s="69"/>
      <c r="D47" s="68" t="s">
        <v>668</v>
      </c>
      <c r="E47" s="70">
        <v>6</v>
      </c>
      <c r="F47" s="54" t="s">
        <v>545</v>
      </c>
      <c r="G47" s="55" t="s">
        <v>227</v>
      </c>
      <c r="H47" s="108">
        <v>2010</v>
      </c>
      <c r="I47" s="55" t="s">
        <v>42</v>
      </c>
      <c r="J47" s="55">
        <v>1</v>
      </c>
      <c r="K47" s="55" t="s">
        <v>45</v>
      </c>
      <c r="L47" s="55" t="s">
        <v>91</v>
      </c>
      <c r="M47" s="55"/>
      <c r="N47" s="125">
        <v>21</v>
      </c>
      <c r="O47" s="125">
        <f>0.71*0.76*0.075</f>
        <v>0.04047</v>
      </c>
      <c r="P47" s="5"/>
      <c r="Q47" s="4"/>
    </row>
    <row r="48" spans="1:17" ht="27" customHeight="1">
      <c r="A48" s="105" t="s">
        <v>180</v>
      </c>
      <c r="B48" s="106" t="s">
        <v>550</v>
      </c>
      <c r="C48" s="69" t="s">
        <v>614</v>
      </c>
      <c r="D48" s="70" t="s">
        <v>669</v>
      </c>
      <c r="E48" s="70">
        <v>6</v>
      </c>
      <c r="F48" s="54" t="s">
        <v>262</v>
      </c>
      <c r="G48" s="55" t="s">
        <v>227</v>
      </c>
      <c r="H48" s="108">
        <v>3010</v>
      </c>
      <c r="I48" s="55" t="s">
        <v>42</v>
      </c>
      <c r="J48" s="55">
        <v>1</v>
      </c>
      <c r="K48" s="55" t="s">
        <v>22</v>
      </c>
      <c r="L48" s="55" t="s">
        <v>92</v>
      </c>
      <c r="M48" s="55"/>
      <c r="N48" s="125">
        <v>35</v>
      </c>
      <c r="O48" s="125">
        <f>1.61*0.74*0.06</f>
        <v>0.07148399999999999</v>
      </c>
      <c r="P48" s="5"/>
      <c r="Q48" s="4"/>
    </row>
    <row r="49" spans="1:17" ht="25.5" customHeight="1">
      <c r="A49" s="105" t="s">
        <v>307</v>
      </c>
      <c r="B49" s="106" t="s">
        <v>549</v>
      </c>
      <c r="C49" s="69"/>
      <c r="D49" s="68" t="s">
        <v>668</v>
      </c>
      <c r="E49" s="70">
        <v>6</v>
      </c>
      <c r="F49" s="54" t="s">
        <v>262</v>
      </c>
      <c r="G49" s="55" t="s">
        <v>227</v>
      </c>
      <c r="H49" s="108">
        <v>2670</v>
      </c>
      <c r="I49" s="55" t="s">
        <v>42</v>
      </c>
      <c r="J49" s="55">
        <v>1</v>
      </c>
      <c r="K49" s="55" t="s">
        <v>308</v>
      </c>
      <c r="L49" s="55"/>
      <c r="M49" s="55"/>
      <c r="N49" s="125">
        <v>33</v>
      </c>
      <c r="O49" s="125" t="s">
        <v>64</v>
      </c>
      <c r="P49" s="6"/>
      <c r="Q49" s="4"/>
    </row>
    <row r="50" spans="1:17" ht="25.5" customHeight="1">
      <c r="A50" s="105" t="s">
        <v>181</v>
      </c>
      <c r="B50" s="106" t="s">
        <v>549</v>
      </c>
      <c r="C50" s="69"/>
      <c r="D50" s="68" t="s">
        <v>668</v>
      </c>
      <c r="E50" s="70">
        <v>6</v>
      </c>
      <c r="F50" s="54" t="s">
        <v>263</v>
      </c>
      <c r="G50" s="55" t="s">
        <v>227</v>
      </c>
      <c r="H50" s="108">
        <v>2500</v>
      </c>
      <c r="I50" s="55" t="s">
        <v>42</v>
      </c>
      <c r="J50" s="55">
        <v>1</v>
      </c>
      <c r="K50" s="55" t="s">
        <v>23</v>
      </c>
      <c r="L50" s="55" t="s">
        <v>93</v>
      </c>
      <c r="M50" s="55"/>
      <c r="N50" s="125">
        <v>28.6</v>
      </c>
      <c r="O50" s="125">
        <f>1.2*0.74*0.06</f>
        <v>0.05328</v>
      </c>
      <c r="P50" s="5"/>
      <c r="Q50" s="4"/>
    </row>
    <row r="51" spans="1:17" ht="27.75" customHeight="1">
      <c r="A51" s="103" t="s">
        <v>551</v>
      </c>
      <c r="B51" s="104" t="s">
        <v>549</v>
      </c>
      <c r="C51" s="69"/>
      <c r="D51" s="68" t="s">
        <v>668</v>
      </c>
      <c r="E51" s="68">
        <v>6</v>
      </c>
      <c r="F51" s="54" t="s">
        <v>346</v>
      </c>
      <c r="G51" s="55" t="s">
        <v>247</v>
      </c>
      <c r="H51" s="108">
        <v>3670</v>
      </c>
      <c r="I51" s="55" t="s">
        <v>42</v>
      </c>
      <c r="J51" s="55"/>
      <c r="K51" s="55" t="s">
        <v>309</v>
      </c>
      <c r="L51" s="55" t="s">
        <v>64</v>
      </c>
      <c r="M51" s="55"/>
      <c r="N51" s="125">
        <v>36</v>
      </c>
      <c r="O51" s="125" t="s">
        <v>64</v>
      </c>
      <c r="P51" s="7"/>
      <c r="Q51" s="4"/>
    </row>
    <row r="52" spans="1:17" ht="26.25" customHeight="1">
      <c r="A52" s="103" t="s">
        <v>552</v>
      </c>
      <c r="B52" s="104" t="s">
        <v>549</v>
      </c>
      <c r="C52" s="69"/>
      <c r="D52" s="68" t="s">
        <v>668</v>
      </c>
      <c r="E52" s="68">
        <v>6</v>
      </c>
      <c r="F52" s="54" t="s">
        <v>346</v>
      </c>
      <c r="G52" s="55" t="s">
        <v>227</v>
      </c>
      <c r="H52" s="108">
        <v>3180</v>
      </c>
      <c r="I52" s="55" t="s">
        <v>42</v>
      </c>
      <c r="J52" s="55">
        <v>1</v>
      </c>
      <c r="K52" s="55" t="s">
        <v>24</v>
      </c>
      <c r="L52" s="55" t="s">
        <v>94</v>
      </c>
      <c r="M52" s="55"/>
      <c r="N52" s="125">
        <v>35</v>
      </c>
      <c r="O52" s="125">
        <f>1.46*0.93*0.05</f>
        <v>0.06789</v>
      </c>
      <c r="P52" s="7"/>
      <c r="Q52" s="4"/>
    </row>
    <row r="53" spans="1:17" ht="12.75" customHeight="1">
      <c r="A53" s="190" t="s">
        <v>182</v>
      </c>
      <c r="B53" s="151" t="s">
        <v>549</v>
      </c>
      <c r="C53" s="159" t="s">
        <v>671</v>
      </c>
      <c r="D53" s="155" t="s">
        <v>612</v>
      </c>
      <c r="E53" s="155">
        <v>6</v>
      </c>
      <c r="F53" s="153" t="s">
        <v>583</v>
      </c>
      <c r="G53" s="161" t="s">
        <v>227</v>
      </c>
      <c r="H53" s="169">
        <v>7770</v>
      </c>
      <c r="I53" s="161" t="s">
        <v>42</v>
      </c>
      <c r="J53" s="161">
        <v>3</v>
      </c>
      <c r="K53" s="161" t="s">
        <v>376</v>
      </c>
      <c r="L53" s="55" t="s">
        <v>95</v>
      </c>
      <c r="M53" s="60" t="s">
        <v>97</v>
      </c>
      <c r="N53" s="171">
        <v>69</v>
      </c>
      <c r="O53" s="171">
        <f>(1.36*1.36*0.05)+(0.74*0.48*0.11)+(0.74*0.51*0.11)</f>
        <v>0.173066</v>
      </c>
      <c r="P53" s="7"/>
      <c r="Q53" s="8"/>
    </row>
    <row r="54" spans="1:17" ht="12.75" customHeight="1">
      <c r="A54" s="191"/>
      <c r="B54" s="152"/>
      <c r="C54" s="160"/>
      <c r="D54" s="156"/>
      <c r="E54" s="156"/>
      <c r="F54" s="154"/>
      <c r="G54" s="162"/>
      <c r="H54" s="170"/>
      <c r="I54" s="162"/>
      <c r="J54" s="162"/>
      <c r="K54" s="162"/>
      <c r="L54" s="55" t="s">
        <v>96</v>
      </c>
      <c r="M54" s="55"/>
      <c r="N54" s="172"/>
      <c r="O54" s="172"/>
      <c r="P54" s="7"/>
      <c r="Q54" s="8"/>
    </row>
    <row r="55" spans="1:17" ht="33.75" customHeight="1">
      <c r="A55" s="103" t="s">
        <v>553</v>
      </c>
      <c r="B55" s="104" t="s">
        <v>549</v>
      </c>
      <c r="C55" s="69"/>
      <c r="D55" s="68" t="s">
        <v>668</v>
      </c>
      <c r="E55" s="68">
        <v>6</v>
      </c>
      <c r="F55" s="54" t="s">
        <v>264</v>
      </c>
      <c r="G55" s="55" t="s">
        <v>227</v>
      </c>
      <c r="H55" s="108">
        <v>3510</v>
      </c>
      <c r="I55" s="55" t="s">
        <v>42</v>
      </c>
      <c r="J55" s="55">
        <v>1</v>
      </c>
      <c r="K55" s="55" t="s">
        <v>46</v>
      </c>
      <c r="L55" s="55" t="s">
        <v>98</v>
      </c>
      <c r="M55" s="55"/>
      <c r="N55" s="125">
        <v>35</v>
      </c>
      <c r="O55" s="125">
        <f>1.41*0.74*0.055</f>
        <v>0.057386999999999994</v>
      </c>
      <c r="P55" s="7"/>
      <c r="Q55" s="8"/>
    </row>
    <row r="56" spans="1:17" ht="24" customHeight="1">
      <c r="A56" s="103" t="s">
        <v>554</v>
      </c>
      <c r="B56" s="104" t="s">
        <v>549</v>
      </c>
      <c r="C56" s="69"/>
      <c r="D56" s="68" t="s">
        <v>668</v>
      </c>
      <c r="E56" s="68">
        <v>6</v>
      </c>
      <c r="F56" s="54" t="s">
        <v>265</v>
      </c>
      <c r="G56" s="55" t="s">
        <v>227</v>
      </c>
      <c r="H56" s="108">
        <v>2761</v>
      </c>
      <c r="I56" s="55" t="s">
        <v>42</v>
      </c>
      <c r="J56" s="55">
        <v>1</v>
      </c>
      <c r="K56" s="55" t="s">
        <v>46</v>
      </c>
      <c r="L56" s="55" t="s">
        <v>99</v>
      </c>
      <c r="M56" s="55"/>
      <c r="N56" s="125">
        <v>27</v>
      </c>
      <c r="O56" s="125">
        <f>1.4*0.74*0.055</f>
        <v>0.05698</v>
      </c>
      <c r="P56" s="3"/>
      <c r="Q56" s="4"/>
    </row>
    <row r="57" spans="1:17" ht="24" customHeight="1">
      <c r="A57" s="103" t="s">
        <v>555</v>
      </c>
      <c r="B57" s="104" t="s">
        <v>549</v>
      </c>
      <c r="C57" s="69"/>
      <c r="D57" s="68" t="s">
        <v>668</v>
      </c>
      <c r="E57" s="68">
        <v>6</v>
      </c>
      <c r="F57" s="54" t="s">
        <v>265</v>
      </c>
      <c r="G57" s="55" t="s">
        <v>227</v>
      </c>
      <c r="H57" s="108">
        <v>2500</v>
      </c>
      <c r="I57" s="55" t="s">
        <v>42</v>
      </c>
      <c r="J57" s="55">
        <v>1</v>
      </c>
      <c r="K57" s="55" t="s">
        <v>47</v>
      </c>
      <c r="L57" s="55" t="s">
        <v>100</v>
      </c>
      <c r="M57" s="55"/>
      <c r="N57" s="125">
        <v>24.5</v>
      </c>
      <c r="O57" s="125">
        <f>1.2*0.74*0.055</f>
        <v>0.04884</v>
      </c>
      <c r="P57" s="3"/>
      <c r="Q57" s="4"/>
    </row>
    <row r="58" spans="1:17" ht="24" customHeight="1">
      <c r="A58" s="105" t="s">
        <v>183</v>
      </c>
      <c r="B58" s="106" t="s">
        <v>550</v>
      </c>
      <c r="C58" s="69" t="s">
        <v>614</v>
      </c>
      <c r="D58" s="70" t="s">
        <v>669</v>
      </c>
      <c r="E58" s="70">
        <v>6</v>
      </c>
      <c r="F58" s="54" t="s">
        <v>347</v>
      </c>
      <c r="G58" s="55" t="s">
        <v>227</v>
      </c>
      <c r="H58" s="108">
        <v>4140</v>
      </c>
      <c r="I58" s="55" t="s">
        <v>42</v>
      </c>
      <c r="J58" s="55">
        <v>2</v>
      </c>
      <c r="K58" s="55" t="s">
        <v>348</v>
      </c>
      <c r="L58" s="55" t="s">
        <v>101</v>
      </c>
      <c r="M58" s="55" t="s">
        <v>102</v>
      </c>
      <c r="N58" s="125">
        <v>26</v>
      </c>
      <c r="O58" s="125">
        <f>(0.78*0.58*0.1)+(1.28*0.585*0.06)</f>
        <v>0.090168</v>
      </c>
      <c r="P58" s="5"/>
      <c r="Q58" s="4"/>
    </row>
    <row r="59" spans="1:17" ht="12.75" customHeight="1">
      <c r="A59" s="188" t="s">
        <v>184</v>
      </c>
      <c r="B59" s="157" t="s">
        <v>549</v>
      </c>
      <c r="C59" s="159"/>
      <c r="D59" s="164" t="s">
        <v>668</v>
      </c>
      <c r="E59" s="164">
        <v>6</v>
      </c>
      <c r="F59" s="153" t="s">
        <v>349</v>
      </c>
      <c r="G59" s="161" t="s">
        <v>227</v>
      </c>
      <c r="H59" s="169">
        <v>4220</v>
      </c>
      <c r="I59" s="161" t="s">
        <v>63</v>
      </c>
      <c r="J59" s="161">
        <v>1</v>
      </c>
      <c r="K59" s="161" t="s">
        <v>22</v>
      </c>
      <c r="L59" s="161" t="s">
        <v>103</v>
      </c>
      <c r="M59" s="161"/>
      <c r="N59" s="171">
        <v>26</v>
      </c>
      <c r="O59" s="171">
        <f>(1.61*0.71*0.095)</f>
        <v>0.1085945</v>
      </c>
      <c r="P59" s="9"/>
      <c r="Q59" s="8"/>
    </row>
    <row r="60" spans="1:17" ht="12.75">
      <c r="A60" s="189"/>
      <c r="B60" s="158"/>
      <c r="C60" s="160"/>
      <c r="D60" s="165"/>
      <c r="E60" s="165"/>
      <c r="F60" s="154"/>
      <c r="G60" s="162"/>
      <c r="H60" s="170"/>
      <c r="I60" s="162"/>
      <c r="J60" s="162"/>
      <c r="K60" s="162"/>
      <c r="L60" s="162"/>
      <c r="M60" s="162"/>
      <c r="N60" s="172"/>
      <c r="O60" s="172"/>
      <c r="P60" s="9"/>
      <c r="Q60" s="8"/>
    </row>
    <row r="61" spans="1:17" ht="12.75" customHeight="1">
      <c r="A61" s="188" t="s">
        <v>185</v>
      </c>
      <c r="B61" s="157" t="s">
        <v>549</v>
      </c>
      <c r="C61" s="159"/>
      <c r="D61" s="164" t="s">
        <v>668</v>
      </c>
      <c r="E61" s="164">
        <v>6</v>
      </c>
      <c r="F61" s="153" t="s">
        <v>431</v>
      </c>
      <c r="G61" s="161" t="s">
        <v>227</v>
      </c>
      <c r="H61" s="169">
        <v>2010</v>
      </c>
      <c r="I61" s="161" t="s">
        <v>63</v>
      </c>
      <c r="J61" s="161">
        <v>1</v>
      </c>
      <c r="K61" s="161" t="s">
        <v>21</v>
      </c>
      <c r="L61" s="161" t="s">
        <v>105</v>
      </c>
      <c r="M61" s="161"/>
      <c r="N61" s="171">
        <v>10</v>
      </c>
      <c r="O61" s="171">
        <f>(0.71*0.71*0.095)</f>
        <v>0.0478895</v>
      </c>
      <c r="P61" s="9"/>
      <c r="Q61" s="8"/>
    </row>
    <row r="62" spans="1:17" ht="12.75">
      <c r="A62" s="189"/>
      <c r="B62" s="158"/>
      <c r="C62" s="160"/>
      <c r="D62" s="165"/>
      <c r="E62" s="165"/>
      <c r="F62" s="154"/>
      <c r="G62" s="162"/>
      <c r="H62" s="170"/>
      <c r="I62" s="162"/>
      <c r="J62" s="162"/>
      <c r="K62" s="162"/>
      <c r="L62" s="162"/>
      <c r="M62" s="162"/>
      <c r="N62" s="172"/>
      <c r="O62" s="172"/>
      <c r="P62" s="5"/>
      <c r="Q62" s="8"/>
    </row>
    <row r="63" spans="1:17" ht="12.75" customHeight="1">
      <c r="A63" s="188" t="s">
        <v>186</v>
      </c>
      <c r="B63" s="157" t="s">
        <v>549</v>
      </c>
      <c r="C63" s="159"/>
      <c r="D63" s="164" t="s">
        <v>668</v>
      </c>
      <c r="E63" s="164">
        <v>6</v>
      </c>
      <c r="F63" s="153" t="s">
        <v>350</v>
      </c>
      <c r="G63" s="161" t="s">
        <v>227</v>
      </c>
      <c r="H63" s="169">
        <v>2900</v>
      </c>
      <c r="I63" s="161" t="s">
        <v>63</v>
      </c>
      <c r="J63" s="161">
        <v>1</v>
      </c>
      <c r="K63" s="161" t="s">
        <v>21</v>
      </c>
      <c r="L63" s="161" t="s">
        <v>105</v>
      </c>
      <c r="M63" s="161"/>
      <c r="N63" s="171">
        <v>13.7</v>
      </c>
      <c r="O63" s="171">
        <f>(0.71*0.71*0.095)</f>
        <v>0.0478895</v>
      </c>
      <c r="P63" s="5"/>
      <c r="Q63" s="8"/>
    </row>
    <row r="64" spans="1:17" ht="12.75">
      <c r="A64" s="189"/>
      <c r="B64" s="158"/>
      <c r="C64" s="160"/>
      <c r="D64" s="165"/>
      <c r="E64" s="165"/>
      <c r="F64" s="154"/>
      <c r="G64" s="162"/>
      <c r="H64" s="170"/>
      <c r="I64" s="162"/>
      <c r="J64" s="162"/>
      <c r="K64" s="162"/>
      <c r="L64" s="162"/>
      <c r="M64" s="162"/>
      <c r="N64" s="172"/>
      <c r="O64" s="172"/>
      <c r="P64" s="5"/>
      <c r="Q64" s="8"/>
    </row>
    <row r="65" spans="1:17" ht="24" customHeight="1">
      <c r="A65" s="105" t="s">
        <v>187</v>
      </c>
      <c r="B65" s="106" t="s">
        <v>549</v>
      </c>
      <c r="C65" s="69"/>
      <c r="D65" s="68" t="s">
        <v>668</v>
      </c>
      <c r="E65" s="70">
        <v>6</v>
      </c>
      <c r="F65" s="54" t="s">
        <v>276</v>
      </c>
      <c r="G65" s="55" t="s">
        <v>227</v>
      </c>
      <c r="H65" s="108">
        <v>5190</v>
      </c>
      <c r="I65" s="55" t="s">
        <v>511</v>
      </c>
      <c r="J65" s="55">
        <v>2</v>
      </c>
      <c r="K65" s="55" t="s">
        <v>107</v>
      </c>
      <c r="L65" s="55" t="s">
        <v>110</v>
      </c>
      <c r="M65" s="55" t="s">
        <v>521</v>
      </c>
      <c r="N65" s="125">
        <v>33.6</v>
      </c>
      <c r="O65" s="125">
        <f>1.31*0.81*0.07</f>
        <v>0.07427700000000002</v>
      </c>
      <c r="P65" s="10"/>
      <c r="Q65" s="4"/>
    </row>
    <row r="66" spans="1:17" ht="24" customHeight="1">
      <c r="A66" s="105" t="s">
        <v>188</v>
      </c>
      <c r="B66" s="106" t="s">
        <v>549</v>
      </c>
      <c r="C66" s="69"/>
      <c r="D66" s="68" t="s">
        <v>668</v>
      </c>
      <c r="E66" s="70">
        <v>6</v>
      </c>
      <c r="F66" s="54" t="s">
        <v>276</v>
      </c>
      <c r="G66" s="55" t="s">
        <v>227</v>
      </c>
      <c r="H66" s="108">
        <v>5680</v>
      </c>
      <c r="I66" s="55" t="s">
        <v>511</v>
      </c>
      <c r="J66" s="55">
        <v>2</v>
      </c>
      <c r="K66" s="55" t="s">
        <v>108</v>
      </c>
      <c r="L66" s="55" t="s">
        <v>111</v>
      </c>
      <c r="M66" s="55" t="s">
        <v>522</v>
      </c>
      <c r="N66" s="125">
        <v>39</v>
      </c>
      <c r="O66" s="125">
        <v>0.08</v>
      </c>
      <c r="P66" s="10"/>
      <c r="Q66" s="4"/>
    </row>
    <row r="67" spans="1:17" ht="24" customHeight="1">
      <c r="A67" s="105" t="s">
        <v>189</v>
      </c>
      <c r="B67" s="106" t="s">
        <v>549</v>
      </c>
      <c r="C67" s="69"/>
      <c r="D67" s="68" t="s">
        <v>668</v>
      </c>
      <c r="E67" s="70">
        <v>4</v>
      </c>
      <c r="F67" s="54" t="s">
        <v>276</v>
      </c>
      <c r="G67" s="55" t="s">
        <v>227</v>
      </c>
      <c r="H67" s="108">
        <v>6000</v>
      </c>
      <c r="I67" s="55" t="s">
        <v>511</v>
      </c>
      <c r="J67" s="55">
        <v>2</v>
      </c>
      <c r="K67" s="55" t="s">
        <v>109</v>
      </c>
      <c r="L67" s="55" t="s">
        <v>112</v>
      </c>
      <c r="M67" s="55" t="s">
        <v>523</v>
      </c>
      <c r="N67" s="125">
        <v>49</v>
      </c>
      <c r="O67" s="125">
        <v>0.12</v>
      </c>
      <c r="P67" s="10"/>
      <c r="Q67" s="4"/>
    </row>
    <row r="68" spans="1:17" ht="24" customHeight="1">
      <c r="A68" s="105" t="s">
        <v>190</v>
      </c>
      <c r="B68" s="106" t="s">
        <v>549</v>
      </c>
      <c r="C68" s="69"/>
      <c r="D68" s="68" t="s">
        <v>668</v>
      </c>
      <c r="E68" s="70">
        <v>6</v>
      </c>
      <c r="F68" s="54" t="s">
        <v>277</v>
      </c>
      <c r="G68" s="55" t="s">
        <v>227</v>
      </c>
      <c r="H68" s="108">
        <v>3240</v>
      </c>
      <c r="I68" s="55" t="s">
        <v>511</v>
      </c>
      <c r="J68" s="55">
        <v>2</v>
      </c>
      <c r="K68" s="55" t="s">
        <v>25</v>
      </c>
      <c r="L68" s="55" t="s">
        <v>113</v>
      </c>
      <c r="M68" s="55" t="s">
        <v>524</v>
      </c>
      <c r="N68" s="125">
        <v>18.8</v>
      </c>
      <c r="O68" s="125">
        <v>0.02</v>
      </c>
      <c r="P68" s="6"/>
      <c r="Q68" s="8"/>
    </row>
    <row r="69" spans="1:17" ht="24" customHeight="1">
      <c r="A69" s="105" t="s">
        <v>191</v>
      </c>
      <c r="B69" s="106" t="s">
        <v>549</v>
      </c>
      <c r="C69" s="69"/>
      <c r="D69" s="68" t="s">
        <v>668</v>
      </c>
      <c r="E69" s="70">
        <v>6</v>
      </c>
      <c r="F69" s="54" t="s">
        <v>278</v>
      </c>
      <c r="G69" s="55" t="s">
        <v>227</v>
      </c>
      <c r="H69" s="108">
        <v>3240</v>
      </c>
      <c r="I69" s="55" t="s">
        <v>511</v>
      </c>
      <c r="J69" s="55">
        <v>2</v>
      </c>
      <c r="K69" s="55" t="s">
        <v>26</v>
      </c>
      <c r="L69" s="55" t="s">
        <v>114</v>
      </c>
      <c r="M69" s="55" t="s">
        <v>525</v>
      </c>
      <c r="N69" s="125">
        <v>20.4</v>
      </c>
      <c r="O69" s="125">
        <v>0.03</v>
      </c>
      <c r="P69" s="6"/>
      <c r="Q69" s="8"/>
    </row>
    <row r="70" spans="1:17" ht="26.25" customHeight="1">
      <c r="A70" s="105" t="s">
        <v>246</v>
      </c>
      <c r="B70" s="106" t="s">
        <v>550</v>
      </c>
      <c r="C70" s="69" t="s">
        <v>614</v>
      </c>
      <c r="D70" s="70" t="s">
        <v>669</v>
      </c>
      <c r="E70" s="70">
        <v>6</v>
      </c>
      <c r="F70" s="54" t="s">
        <v>351</v>
      </c>
      <c r="G70" s="55" t="s">
        <v>247</v>
      </c>
      <c r="H70" s="108">
        <v>1330</v>
      </c>
      <c r="I70" s="55" t="s">
        <v>42</v>
      </c>
      <c r="J70" s="55">
        <v>1</v>
      </c>
      <c r="K70" s="55" t="s">
        <v>248</v>
      </c>
      <c r="L70" s="55" t="s">
        <v>390</v>
      </c>
      <c r="M70" s="55"/>
      <c r="N70" s="127">
        <v>12.7</v>
      </c>
      <c r="O70" s="125">
        <v>0.03</v>
      </c>
      <c r="P70" s="5"/>
      <c r="Q70" s="8"/>
    </row>
    <row r="71" spans="1:17" ht="25.5" customHeight="1">
      <c r="A71" s="105" t="s">
        <v>645</v>
      </c>
      <c r="B71" s="106" t="s">
        <v>550</v>
      </c>
      <c r="C71" s="69" t="s">
        <v>646</v>
      </c>
      <c r="D71" s="68" t="s">
        <v>671</v>
      </c>
      <c r="E71" s="70">
        <v>12</v>
      </c>
      <c r="F71" s="54" t="s">
        <v>352</v>
      </c>
      <c r="G71" s="55" t="s">
        <v>247</v>
      </c>
      <c r="H71" s="108">
        <v>6270</v>
      </c>
      <c r="I71" s="55" t="s">
        <v>42</v>
      </c>
      <c r="J71" s="55">
        <v>1</v>
      </c>
      <c r="K71" s="55" t="s">
        <v>647</v>
      </c>
      <c r="L71" s="55"/>
      <c r="M71" s="55"/>
      <c r="N71" s="125">
        <v>51.3</v>
      </c>
      <c r="O71" s="125"/>
      <c r="P71" s="5"/>
      <c r="Q71" s="8"/>
    </row>
    <row r="72" spans="1:17" ht="26.25" customHeight="1">
      <c r="A72" s="105" t="s">
        <v>266</v>
      </c>
      <c r="B72" s="106" t="s">
        <v>550</v>
      </c>
      <c r="C72" s="69" t="s">
        <v>614</v>
      </c>
      <c r="D72" s="70" t="s">
        <v>669</v>
      </c>
      <c r="E72" s="70">
        <v>12</v>
      </c>
      <c r="F72" s="54" t="s">
        <v>432</v>
      </c>
      <c r="G72" s="55" t="s">
        <v>247</v>
      </c>
      <c r="H72" s="108">
        <v>1590</v>
      </c>
      <c r="I72" s="55" t="s">
        <v>42</v>
      </c>
      <c r="J72" s="55">
        <v>1</v>
      </c>
      <c r="K72" s="55" t="s">
        <v>288</v>
      </c>
      <c r="L72" s="55" t="s">
        <v>391</v>
      </c>
      <c r="M72" s="55"/>
      <c r="N72" s="128">
        <v>12.7</v>
      </c>
      <c r="O72" s="125">
        <v>0.03</v>
      </c>
      <c r="P72" s="5"/>
      <c r="Q72" s="8"/>
    </row>
    <row r="73" spans="1:17" ht="26.25" customHeight="1">
      <c r="A73" s="105" t="s">
        <v>479</v>
      </c>
      <c r="B73" s="106" t="s">
        <v>550</v>
      </c>
      <c r="C73" s="69" t="s">
        <v>671</v>
      </c>
      <c r="D73" s="70" t="s">
        <v>612</v>
      </c>
      <c r="E73" s="70">
        <v>12</v>
      </c>
      <c r="F73" s="54" t="s">
        <v>480</v>
      </c>
      <c r="G73" s="55" t="s">
        <v>247</v>
      </c>
      <c r="H73" s="108">
        <v>3240</v>
      </c>
      <c r="I73" s="55" t="s">
        <v>42</v>
      </c>
      <c r="J73" s="55">
        <v>1</v>
      </c>
      <c r="K73" s="55" t="s">
        <v>600</v>
      </c>
      <c r="L73" s="55" t="s">
        <v>481</v>
      </c>
      <c r="M73" s="55"/>
      <c r="N73" s="128">
        <v>23</v>
      </c>
      <c r="O73" s="125">
        <v>0.04</v>
      </c>
      <c r="P73" s="6"/>
      <c r="Q73" s="8"/>
    </row>
    <row r="74" spans="1:17" ht="26.25" customHeight="1">
      <c r="A74" s="105" t="s">
        <v>476</v>
      </c>
      <c r="B74" s="106" t="s">
        <v>550</v>
      </c>
      <c r="C74" s="69" t="s">
        <v>614</v>
      </c>
      <c r="D74" s="70" t="s">
        <v>669</v>
      </c>
      <c r="E74" s="70">
        <v>10</v>
      </c>
      <c r="F74" s="54" t="s">
        <v>477</v>
      </c>
      <c r="G74" s="55" t="s">
        <v>247</v>
      </c>
      <c r="H74" s="108">
        <v>2110</v>
      </c>
      <c r="I74" s="55" t="s">
        <v>42</v>
      </c>
      <c r="J74" s="55">
        <v>1</v>
      </c>
      <c r="K74" s="55" t="s">
        <v>601</v>
      </c>
      <c r="L74" s="55" t="s">
        <v>482</v>
      </c>
      <c r="M74" s="55"/>
      <c r="N74" s="128">
        <v>11.3</v>
      </c>
      <c r="O74" s="125">
        <v>0.02</v>
      </c>
      <c r="P74" s="6"/>
      <c r="Q74" s="11"/>
    </row>
    <row r="75" spans="1:17" ht="26.25" customHeight="1">
      <c r="A75" s="103" t="s">
        <v>616</v>
      </c>
      <c r="B75" s="104" t="s">
        <v>550</v>
      </c>
      <c r="C75" s="69" t="s">
        <v>672</v>
      </c>
      <c r="D75" s="68" t="s">
        <v>615</v>
      </c>
      <c r="E75" s="68">
        <v>10</v>
      </c>
      <c r="F75" s="54" t="s">
        <v>502</v>
      </c>
      <c r="G75" s="55" t="s">
        <v>247</v>
      </c>
      <c r="H75" s="108">
        <v>970</v>
      </c>
      <c r="I75" s="55" t="s">
        <v>42</v>
      </c>
      <c r="J75" s="55">
        <v>1</v>
      </c>
      <c r="K75" s="55" t="s">
        <v>602</v>
      </c>
      <c r="L75" s="55" t="s">
        <v>529</v>
      </c>
      <c r="M75" s="55"/>
      <c r="N75" s="128">
        <v>4</v>
      </c>
      <c r="O75" s="125">
        <v>0.02</v>
      </c>
      <c r="P75" s="6"/>
      <c r="Q75" s="11"/>
    </row>
    <row r="76" spans="1:17" ht="26.25" customHeight="1">
      <c r="A76" s="103" t="s">
        <v>535</v>
      </c>
      <c r="B76" s="104" t="s">
        <v>549</v>
      </c>
      <c r="C76" s="69"/>
      <c r="D76" s="68"/>
      <c r="E76" s="68"/>
      <c r="F76" s="54" t="s">
        <v>502</v>
      </c>
      <c r="G76" s="55" t="s">
        <v>247</v>
      </c>
      <c r="H76" s="108">
        <v>2920</v>
      </c>
      <c r="I76" s="55" t="s">
        <v>42</v>
      </c>
      <c r="J76" s="55">
        <v>1</v>
      </c>
      <c r="K76" s="65" t="s">
        <v>534</v>
      </c>
      <c r="L76" s="55" t="s">
        <v>586</v>
      </c>
      <c r="M76" s="55"/>
      <c r="N76" s="128">
        <v>9.65</v>
      </c>
      <c r="O76" s="125">
        <v>0.07</v>
      </c>
      <c r="P76" s="6"/>
      <c r="Q76" s="11"/>
    </row>
    <row r="77" spans="1:17" ht="26.25" customHeight="1">
      <c r="A77" s="103" t="s">
        <v>542</v>
      </c>
      <c r="B77" s="104" t="s">
        <v>550</v>
      </c>
      <c r="C77" s="69" t="s">
        <v>612</v>
      </c>
      <c r="D77" s="68" t="s">
        <v>671</v>
      </c>
      <c r="E77" s="68">
        <v>6</v>
      </c>
      <c r="F77" s="54" t="s">
        <v>543</v>
      </c>
      <c r="G77" s="55" t="s">
        <v>247</v>
      </c>
      <c r="H77" s="108">
        <v>2760</v>
      </c>
      <c r="I77" s="55" t="s">
        <v>42</v>
      </c>
      <c r="J77" s="55">
        <v>1</v>
      </c>
      <c r="K77" s="65" t="s">
        <v>544</v>
      </c>
      <c r="L77" s="55" t="s">
        <v>546</v>
      </c>
      <c r="M77" s="55"/>
      <c r="N77" s="128">
        <v>25.7</v>
      </c>
      <c r="O77" s="125">
        <v>0.05</v>
      </c>
      <c r="P77" s="6"/>
      <c r="Q77" s="11"/>
    </row>
    <row r="78" spans="1:17" ht="26.25" customHeight="1">
      <c r="A78" s="103" t="s">
        <v>658</v>
      </c>
      <c r="B78" s="104" t="s">
        <v>550</v>
      </c>
      <c r="C78" s="69" t="s">
        <v>671</v>
      </c>
      <c r="D78" s="68" t="s">
        <v>612</v>
      </c>
      <c r="E78" s="68">
        <v>6</v>
      </c>
      <c r="F78" s="54" t="s">
        <v>659</v>
      </c>
      <c r="G78" s="55" t="s">
        <v>247</v>
      </c>
      <c r="H78" s="108">
        <v>1460</v>
      </c>
      <c r="I78" s="55" t="s">
        <v>42</v>
      </c>
      <c r="J78" s="55">
        <v>1</v>
      </c>
      <c r="K78" s="65" t="s">
        <v>661</v>
      </c>
      <c r="L78" s="55"/>
      <c r="M78" s="55"/>
      <c r="N78" s="128">
        <v>13.43</v>
      </c>
      <c r="O78" s="125"/>
      <c r="P78" s="6"/>
      <c r="Q78" s="11"/>
    </row>
    <row r="79" spans="1:17" ht="26.25" customHeight="1">
      <c r="A79" s="103" t="s">
        <v>660</v>
      </c>
      <c r="B79" s="104" t="s">
        <v>550</v>
      </c>
      <c r="C79" s="69" t="s">
        <v>671</v>
      </c>
      <c r="D79" s="68" t="s">
        <v>612</v>
      </c>
      <c r="E79" s="68">
        <v>6</v>
      </c>
      <c r="F79" s="54" t="s">
        <v>659</v>
      </c>
      <c r="G79" s="55" t="s">
        <v>247</v>
      </c>
      <c r="H79" s="108">
        <v>2110</v>
      </c>
      <c r="I79" s="55" t="s">
        <v>42</v>
      </c>
      <c r="J79" s="55">
        <v>1</v>
      </c>
      <c r="K79" s="65" t="s">
        <v>662</v>
      </c>
      <c r="L79" s="55"/>
      <c r="M79" s="55"/>
      <c r="N79" s="128">
        <v>18.5</v>
      </c>
      <c r="O79" s="125"/>
      <c r="P79" s="6"/>
      <c r="Q79" s="11"/>
    </row>
    <row r="80" spans="1:17" ht="26.25" customHeight="1">
      <c r="A80" s="103" t="s">
        <v>665</v>
      </c>
      <c r="B80" s="104" t="s">
        <v>550</v>
      </c>
      <c r="C80" s="69" t="s">
        <v>668</v>
      </c>
      <c r="D80" s="68"/>
      <c r="E80" s="68"/>
      <c r="F80" s="54" t="s">
        <v>666</v>
      </c>
      <c r="G80" s="55" t="s">
        <v>247</v>
      </c>
      <c r="H80" s="108">
        <v>1780</v>
      </c>
      <c r="I80" s="55" t="s">
        <v>42</v>
      </c>
      <c r="J80" s="55">
        <v>1</v>
      </c>
      <c r="K80" s="65" t="s">
        <v>667</v>
      </c>
      <c r="L80" s="55"/>
      <c r="M80" s="55"/>
      <c r="N80" s="128"/>
      <c r="O80" s="125"/>
      <c r="P80" s="6"/>
      <c r="Q80" s="11"/>
    </row>
    <row r="81" spans="1:17" ht="15" customHeight="1">
      <c r="A81" s="148" t="s">
        <v>559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50"/>
      <c r="P81" s="3"/>
      <c r="Q81" s="4"/>
    </row>
    <row r="82" spans="1:17" ht="18" customHeight="1">
      <c r="A82" s="103" t="s">
        <v>300</v>
      </c>
      <c r="B82" s="104" t="s">
        <v>549</v>
      </c>
      <c r="C82" s="69"/>
      <c r="D82" s="68" t="s">
        <v>668</v>
      </c>
      <c r="E82" s="68">
        <v>6</v>
      </c>
      <c r="F82" s="54" t="s">
        <v>353</v>
      </c>
      <c r="G82" s="55" t="s">
        <v>227</v>
      </c>
      <c r="H82" s="108">
        <v>840</v>
      </c>
      <c r="I82" s="55" t="s">
        <v>42</v>
      </c>
      <c r="J82" s="55">
        <v>1</v>
      </c>
      <c r="K82" s="55" t="s">
        <v>144</v>
      </c>
      <c r="L82" s="55" t="s">
        <v>512</v>
      </c>
      <c r="M82" s="55"/>
      <c r="N82" s="126">
        <v>2.5</v>
      </c>
      <c r="O82" s="125">
        <v>0.01</v>
      </c>
      <c r="P82" s="12"/>
      <c r="Q82" s="4"/>
    </row>
    <row r="83" spans="1:17" ht="18" customHeight="1">
      <c r="A83" s="103" t="s">
        <v>301</v>
      </c>
      <c r="B83" s="104" t="s">
        <v>549</v>
      </c>
      <c r="C83" s="69"/>
      <c r="D83" s="68" t="s">
        <v>668</v>
      </c>
      <c r="E83" s="68">
        <v>6</v>
      </c>
      <c r="F83" s="54" t="s">
        <v>353</v>
      </c>
      <c r="G83" s="55" t="s">
        <v>227</v>
      </c>
      <c r="H83" s="108">
        <v>930</v>
      </c>
      <c r="I83" s="55" t="s">
        <v>42</v>
      </c>
      <c r="J83" s="55">
        <v>1</v>
      </c>
      <c r="K83" s="55" t="s">
        <v>141</v>
      </c>
      <c r="L83" s="55" t="s">
        <v>395</v>
      </c>
      <c r="M83" s="55"/>
      <c r="N83" s="126">
        <v>2.5</v>
      </c>
      <c r="O83" s="125">
        <f>0.62*0.51*0.03</f>
        <v>0.009486</v>
      </c>
      <c r="P83" s="7"/>
      <c r="Q83" s="4"/>
    </row>
    <row r="84" spans="1:17" ht="18" customHeight="1">
      <c r="A84" s="103" t="s">
        <v>302</v>
      </c>
      <c r="B84" s="104" t="s">
        <v>549</v>
      </c>
      <c r="C84" s="69"/>
      <c r="D84" s="68" t="s">
        <v>668</v>
      </c>
      <c r="E84" s="68">
        <v>6</v>
      </c>
      <c r="F84" s="54" t="s">
        <v>353</v>
      </c>
      <c r="G84" s="55" t="s">
        <v>227</v>
      </c>
      <c r="H84" s="108">
        <v>1080</v>
      </c>
      <c r="I84" s="55" t="s">
        <v>42</v>
      </c>
      <c r="J84" s="55">
        <v>1</v>
      </c>
      <c r="K84" s="56" t="s">
        <v>303</v>
      </c>
      <c r="L84" s="55" t="s">
        <v>397</v>
      </c>
      <c r="M84" s="55"/>
      <c r="N84" s="126">
        <v>5</v>
      </c>
      <c r="O84" s="125">
        <f>0.72*0.61*0.04</f>
        <v>0.017568</v>
      </c>
      <c r="P84" s="7"/>
      <c r="Q84" s="4"/>
    </row>
    <row r="85" spans="1:17" ht="18" customHeight="1">
      <c r="A85" s="103" t="s">
        <v>310</v>
      </c>
      <c r="B85" s="104" t="s">
        <v>549</v>
      </c>
      <c r="C85" s="69"/>
      <c r="D85" s="68" t="s">
        <v>668</v>
      </c>
      <c r="E85" s="68">
        <v>6</v>
      </c>
      <c r="F85" s="54" t="s">
        <v>316</v>
      </c>
      <c r="G85" s="55" t="s">
        <v>227</v>
      </c>
      <c r="H85" s="108">
        <v>930</v>
      </c>
      <c r="I85" s="55" t="s">
        <v>42</v>
      </c>
      <c r="J85" s="55">
        <v>1</v>
      </c>
      <c r="K85" s="55" t="s">
        <v>116</v>
      </c>
      <c r="L85" s="55" t="s">
        <v>396</v>
      </c>
      <c r="M85" s="55"/>
      <c r="N85" s="125">
        <v>4.6</v>
      </c>
      <c r="O85" s="125">
        <f>0.62*0.62*0.04</f>
        <v>0.015376</v>
      </c>
      <c r="P85" s="7"/>
      <c r="Q85" s="4"/>
    </row>
    <row r="86" spans="1:17" ht="18" customHeight="1">
      <c r="A86" s="103" t="s">
        <v>311</v>
      </c>
      <c r="B86" s="104" t="s">
        <v>549</v>
      </c>
      <c r="C86" s="69"/>
      <c r="D86" s="68" t="s">
        <v>668</v>
      </c>
      <c r="E86" s="68">
        <v>6</v>
      </c>
      <c r="F86" s="54" t="s">
        <v>316</v>
      </c>
      <c r="G86" s="55" t="s">
        <v>227</v>
      </c>
      <c r="H86" s="108">
        <v>1250</v>
      </c>
      <c r="I86" s="55" t="s">
        <v>42</v>
      </c>
      <c r="J86" s="55">
        <v>1</v>
      </c>
      <c r="K86" s="55" t="s">
        <v>140</v>
      </c>
      <c r="L86" s="55" t="s">
        <v>536</v>
      </c>
      <c r="M86" s="55"/>
      <c r="N86" s="125">
        <v>4.4</v>
      </c>
      <c r="O86" s="125">
        <f>0.52*0.52*0.04</f>
        <v>0.010816000000000001</v>
      </c>
      <c r="P86" s="7"/>
      <c r="Q86" s="4"/>
    </row>
    <row r="87" spans="1:17" ht="18" customHeight="1">
      <c r="A87" s="103" t="s">
        <v>313</v>
      </c>
      <c r="B87" s="104" t="s">
        <v>549</v>
      </c>
      <c r="C87" s="69"/>
      <c r="D87" s="68" t="s">
        <v>668</v>
      </c>
      <c r="E87" s="68">
        <v>6</v>
      </c>
      <c r="F87" s="54" t="s">
        <v>316</v>
      </c>
      <c r="G87" s="55" t="s">
        <v>227</v>
      </c>
      <c r="H87" s="108">
        <v>1420</v>
      </c>
      <c r="I87" s="55" t="s">
        <v>42</v>
      </c>
      <c r="J87" s="55">
        <v>1</v>
      </c>
      <c r="K87" s="56" t="s">
        <v>142</v>
      </c>
      <c r="L87" s="55" t="s">
        <v>537</v>
      </c>
      <c r="M87" s="55"/>
      <c r="N87" s="125">
        <v>6</v>
      </c>
      <c r="O87" s="125">
        <f>0.62*0.62*0.04</f>
        <v>0.015376</v>
      </c>
      <c r="P87" s="7"/>
      <c r="Q87" s="4"/>
    </row>
    <row r="88" spans="1:17" ht="18" customHeight="1">
      <c r="A88" s="103" t="s">
        <v>312</v>
      </c>
      <c r="B88" s="104" t="s">
        <v>549</v>
      </c>
      <c r="C88" s="69"/>
      <c r="D88" s="68" t="s">
        <v>668</v>
      </c>
      <c r="E88" s="68">
        <v>6</v>
      </c>
      <c r="F88" s="54" t="s">
        <v>316</v>
      </c>
      <c r="G88" s="55" t="s">
        <v>227</v>
      </c>
      <c r="H88" s="108">
        <v>1590</v>
      </c>
      <c r="I88" s="55" t="s">
        <v>42</v>
      </c>
      <c r="J88" s="55">
        <v>1</v>
      </c>
      <c r="K88" s="56" t="s">
        <v>115</v>
      </c>
      <c r="L88" s="55" t="s">
        <v>398</v>
      </c>
      <c r="M88" s="55"/>
      <c r="N88" s="125">
        <v>6.2</v>
      </c>
      <c r="O88" s="125">
        <f>0.72*0.72*0.04</f>
        <v>0.020736</v>
      </c>
      <c r="P88" s="7"/>
      <c r="Q88" s="4"/>
    </row>
    <row r="89" spans="1:17" ht="18" customHeight="1">
      <c r="A89" s="103" t="s">
        <v>314</v>
      </c>
      <c r="B89" s="104" t="s">
        <v>549</v>
      </c>
      <c r="C89" s="69"/>
      <c r="D89" s="68" t="s">
        <v>668</v>
      </c>
      <c r="E89" s="68">
        <v>6</v>
      </c>
      <c r="F89" s="54" t="s">
        <v>316</v>
      </c>
      <c r="G89" s="55" t="s">
        <v>227</v>
      </c>
      <c r="H89" s="108">
        <v>1840</v>
      </c>
      <c r="I89" s="55" t="s">
        <v>42</v>
      </c>
      <c r="J89" s="55">
        <v>1</v>
      </c>
      <c r="K89" s="55" t="s">
        <v>317</v>
      </c>
      <c r="L89" s="55" t="s">
        <v>538</v>
      </c>
      <c r="M89" s="55"/>
      <c r="N89" s="125">
        <v>14</v>
      </c>
      <c r="O89" s="125">
        <v>0.03</v>
      </c>
      <c r="P89" s="12"/>
      <c r="Q89" s="4"/>
    </row>
    <row r="90" spans="1:17" ht="18" customHeight="1">
      <c r="A90" s="103" t="s">
        <v>315</v>
      </c>
      <c r="B90" s="104" t="s">
        <v>549</v>
      </c>
      <c r="C90" s="69"/>
      <c r="D90" s="68" t="s">
        <v>668</v>
      </c>
      <c r="E90" s="68">
        <v>6</v>
      </c>
      <c r="F90" s="54" t="s">
        <v>316</v>
      </c>
      <c r="G90" s="55" t="s">
        <v>227</v>
      </c>
      <c r="H90" s="108">
        <v>2090</v>
      </c>
      <c r="I90" s="55" t="s">
        <v>42</v>
      </c>
      <c r="J90" s="55">
        <v>1</v>
      </c>
      <c r="K90" s="55" t="s">
        <v>143</v>
      </c>
      <c r="L90" s="55" t="s">
        <v>539</v>
      </c>
      <c r="M90" s="55"/>
      <c r="N90" s="125">
        <v>16.1</v>
      </c>
      <c r="O90" s="125">
        <v>0.05</v>
      </c>
      <c r="P90" s="12"/>
      <c r="Q90" s="4"/>
    </row>
    <row r="91" spans="1:17" ht="18" customHeight="1">
      <c r="A91" s="103" t="s">
        <v>193</v>
      </c>
      <c r="B91" s="104" t="s">
        <v>549</v>
      </c>
      <c r="C91" s="69"/>
      <c r="D91" s="68" t="s">
        <v>549</v>
      </c>
      <c r="E91" s="68">
        <v>6</v>
      </c>
      <c r="F91" s="54" t="s">
        <v>354</v>
      </c>
      <c r="G91" s="55" t="s">
        <v>227</v>
      </c>
      <c r="H91" s="108"/>
      <c r="I91" s="55" t="s">
        <v>61</v>
      </c>
      <c r="J91" s="56">
        <v>1</v>
      </c>
      <c r="K91" s="55" t="s">
        <v>145</v>
      </c>
      <c r="L91" s="55" t="s">
        <v>145</v>
      </c>
      <c r="M91" s="55"/>
      <c r="N91" s="125">
        <v>1.1</v>
      </c>
      <c r="O91" s="136">
        <f>0.06*0.06*0.71</f>
        <v>0.0025559999999999997</v>
      </c>
      <c r="P91" s="3"/>
      <c r="Q91" s="4"/>
    </row>
    <row r="92" spans="1:17" ht="18" customHeight="1">
      <c r="A92" s="105" t="s">
        <v>194</v>
      </c>
      <c r="B92" s="62" t="s">
        <v>549</v>
      </c>
      <c r="C92" s="69"/>
      <c r="D92" s="68" t="s">
        <v>549</v>
      </c>
      <c r="E92" s="70">
        <v>6</v>
      </c>
      <c r="F92" s="58" t="s">
        <v>220</v>
      </c>
      <c r="G92" s="55" t="s">
        <v>227</v>
      </c>
      <c r="H92" s="108">
        <v>440</v>
      </c>
      <c r="I92" s="55" t="s">
        <v>61</v>
      </c>
      <c r="J92" s="55">
        <v>1</v>
      </c>
      <c r="K92" s="55" t="s">
        <v>106</v>
      </c>
      <c r="L92" s="55" t="s">
        <v>106</v>
      </c>
      <c r="M92" s="55"/>
      <c r="N92" s="125">
        <v>2.4</v>
      </c>
      <c r="O92" s="125">
        <f>1.04*0.38*0.06</f>
        <v>0.023712</v>
      </c>
      <c r="P92" s="3"/>
      <c r="Q92" s="4"/>
    </row>
    <row r="93" spans="1:17" ht="18" customHeight="1">
      <c r="A93" s="105" t="s">
        <v>195</v>
      </c>
      <c r="B93" s="62" t="s">
        <v>549</v>
      </c>
      <c r="C93" s="69"/>
      <c r="D93" s="68" t="s">
        <v>549</v>
      </c>
      <c r="E93" s="70">
        <v>6</v>
      </c>
      <c r="F93" s="58" t="s">
        <v>220</v>
      </c>
      <c r="G93" s="55" t="s">
        <v>227</v>
      </c>
      <c r="H93" s="108">
        <v>570</v>
      </c>
      <c r="I93" s="55" t="s">
        <v>61</v>
      </c>
      <c r="J93" s="55">
        <v>1</v>
      </c>
      <c r="K93" s="55" t="s">
        <v>104</v>
      </c>
      <c r="L93" s="55" t="s">
        <v>104</v>
      </c>
      <c r="M93" s="55"/>
      <c r="N93" s="125">
        <v>3.8</v>
      </c>
      <c r="O93" s="125">
        <f>1.376*0.38*0.06</f>
        <v>0.0313728</v>
      </c>
      <c r="P93" s="3"/>
      <c r="Q93" s="4"/>
    </row>
    <row r="94" spans="1:17" ht="18" customHeight="1">
      <c r="A94" s="103" t="s">
        <v>253</v>
      </c>
      <c r="B94" s="62" t="s">
        <v>549</v>
      </c>
      <c r="C94" s="69"/>
      <c r="D94" s="68"/>
      <c r="E94" s="68"/>
      <c r="F94" s="54" t="s">
        <v>389</v>
      </c>
      <c r="G94" s="56" t="s">
        <v>227</v>
      </c>
      <c r="H94" s="108">
        <v>56</v>
      </c>
      <c r="I94" s="55"/>
      <c r="J94" s="56"/>
      <c r="K94" s="55" t="s">
        <v>64</v>
      </c>
      <c r="L94" s="55" t="s">
        <v>64</v>
      </c>
      <c r="M94" s="55"/>
      <c r="N94" s="125" t="s">
        <v>64</v>
      </c>
      <c r="O94" s="125" t="s">
        <v>64</v>
      </c>
      <c r="P94" s="6"/>
      <c r="Q94" s="4"/>
    </row>
    <row r="95" spans="1:17" ht="15" customHeight="1">
      <c r="A95" s="148" t="s">
        <v>564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50"/>
      <c r="P95" s="3"/>
      <c r="Q95" s="4"/>
    </row>
    <row r="96" spans="1:17" ht="24" customHeight="1">
      <c r="A96" s="105" t="s">
        <v>196</v>
      </c>
      <c r="B96" s="106" t="s">
        <v>550</v>
      </c>
      <c r="C96" s="69" t="s">
        <v>671</v>
      </c>
      <c r="D96" s="70" t="s">
        <v>612</v>
      </c>
      <c r="E96" s="70">
        <v>6</v>
      </c>
      <c r="F96" s="54" t="s">
        <v>399</v>
      </c>
      <c r="G96" s="55" t="s">
        <v>227</v>
      </c>
      <c r="H96" s="108">
        <v>3600</v>
      </c>
      <c r="I96" s="55" t="s">
        <v>42</v>
      </c>
      <c r="J96" s="56">
        <v>1</v>
      </c>
      <c r="K96" s="55" t="s">
        <v>12</v>
      </c>
      <c r="L96" s="55" t="s">
        <v>67</v>
      </c>
      <c r="M96" s="55"/>
      <c r="N96" s="125">
        <v>37.5</v>
      </c>
      <c r="O96" s="125">
        <f>1.93*0.4*0.09</f>
        <v>0.06948</v>
      </c>
      <c r="P96" s="5"/>
      <c r="Q96" s="8"/>
    </row>
    <row r="97" spans="1:17" ht="18" customHeight="1">
      <c r="A97" s="105" t="s">
        <v>197</v>
      </c>
      <c r="B97" s="106" t="s">
        <v>550</v>
      </c>
      <c r="C97" s="69" t="s">
        <v>671</v>
      </c>
      <c r="D97" s="70" t="s">
        <v>612</v>
      </c>
      <c r="E97" s="70">
        <v>6</v>
      </c>
      <c r="F97" s="54" t="s">
        <v>400</v>
      </c>
      <c r="G97" s="55" t="s">
        <v>227</v>
      </c>
      <c r="H97" s="108">
        <v>3260</v>
      </c>
      <c r="I97" s="55" t="s">
        <v>42</v>
      </c>
      <c r="J97" s="56">
        <v>1</v>
      </c>
      <c r="K97" s="55" t="s">
        <v>48</v>
      </c>
      <c r="L97" s="55" t="s">
        <v>78</v>
      </c>
      <c r="M97" s="55"/>
      <c r="N97" s="125">
        <v>32.6</v>
      </c>
      <c r="O97" s="125">
        <f>1.93*0.36*0.09</f>
        <v>0.06253199999999999</v>
      </c>
      <c r="P97" s="5"/>
      <c r="Q97" s="8"/>
    </row>
    <row r="98" spans="1:17" ht="18" customHeight="1">
      <c r="A98" s="105" t="s">
        <v>198</v>
      </c>
      <c r="B98" s="106" t="s">
        <v>549</v>
      </c>
      <c r="C98" s="69"/>
      <c r="D98" s="68" t="s">
        <v>668</v>
      </c>
      <c r="E98" s="70">
        <v>12</v>
      </c>
      <c r="F98" s="54" t="s">
        <v>222</v>
      </c>
      <c r="G98" s="55" t="s">
        <v>227</v>
      </c>
      <c r="H98" s="108">
        <v>2340</v>
      </c>
      <c r="I98" s="55" t="s">
        <v>42</v>
      </c>
      <c r="J98" s="56">
        <v>1</v>
      </c>
      <c r="K98" s="55" t="s">
        <v>49</v>
      </c>
      <c r="L98" s="55" t="s">
        <v>79</v>
      </c>
      <c r="M98" s="55"/>
      <c r="N98" s="125">
        <v>17</v>
      </c>
      <c r="O98" s="125">
        <f>1.065*0.36*0.09</f>
        <v>0.034505999999999995</v>
      </c>
      <c r="P98" s="5"/>
      <c r="Q98" s="8"/>
    </row>
    <row r="99" spans="1:17" ht="18" customHeight="1">
      <c r="A99" s="105" t="s">
        <v>199</v>
      </c>
      <c r="B99" s="106" t="s">
        <v>549</v>
      </c>
      <c r="C99" s="69"/>
      <c r="D99" s="68" t="s">
        <v>668</v>
      </c>
      <c r="E99" s="70">
        <v>12</v>
      </c>
      <c r="F99" s="54" t="s">
        <v>221</v>
      </c>
      <c r="G99" s="55" t="s">
        <v>227</v>
      </c>
      <c r="H99" s="108">
        <v>3990</v>
      </c>
      <c r="I99" s="55" t="s">
        <v>42</v>
      </c>
      <c r="J99" s="56">
        <v>1</v>
      </c>
      <c r="K99" s="55" t="s">
        <v>27</v>
      </c>
      <c r="L99" s="55" t="s">
        <v>80</v>
      </c>
      <c r="M99" s="55"/>
      <c r="N99" s="125">
        <v>30</v>
      </c>
      <c r="O99" s="125">
        <f>1.95*0.34*0.09</f>
        <v>0.05967</v>
      </c>
      <c r="P99" s="5"/>
      <c r="Q99" s="8"/>
    </row>
    <row r="100" spans="1:17" ht="18" customHeight="1">
      <c r="A100" s="105" t="s">
        <v>200</v>
      </c>
      <c r="B100" s="106" t="s">
        <v>549</v>
      </c>
      <c r="C100" s="69"/>
      <c r="D100" s="68" t="s">
        <v>668</v>
      </c>
      <c r="E100" s="70">
        <v>6</v>
      </c>
      <c r="F100" s="54" t="s">
        <v>223</v>
      </c>
      <c r="G100" s="55" t="s">
        <v>227</v>
      </c>
      <c r="H100" s="108">
        <v>2250</v>
      </c>
      <c r="I100" s="55" t="s">
        <v>42</v>
      </c>
      <c r="J100" s="56">
        <v>1</v>
      </c>
      <c r="K100" s="55" t="s">
        <v>28</v>
      </c>
      <c r="L100" s="55" t="s">
        <v>81</v>
      </c>
      <c r="M100" s="55"/>
      <c r="N100" s="125">
        <v>27.5</v>
      </c>
      <c r="O100" s="125">
        <f>1.18*0.4*0.11</f>
        <v>0.05192</v>
      </c>
      <c r="P100" s="5"/>
      <c r="Q100" s="8"/>
    </row>
    <row r="101" spans="1:17" ht="26.25" customHeight="1">
      <c r="A101" s="105" t="s">
        <v>201</v>
      </c>
      <c r="B101" s="106" t="s">
        <v>549</v>
      </c>
      <c r="C101" s="69"/>
      <c r="D101" s="70" t="s">
        <v>615</v>
      </c>
      <c r="E101" s="70">
        <v>30</v>
      </c>
      <c r="F101" s="54" t="s">
        <v>224</v>
      </c>
      <c r="G101" s="55" t="s">
        <v>227</v>
      </c>
      <c r="H101" s="108">
        <v>2340</v>
      </c>
      <c r="I101" s="55" t="s">
        <v>42</v>
      </c>
      <c r="J101" s="56">
        <v>1</v>
      </c>
      <c r="K101" s="55" t="s">
        <v>50</v>
      </c>
      <c r="L101" s="55" t="s">
        <v>82</v>
      </c>
      <c r="M101" s="55"/>
      <c r="N101" s="125">
        <v>19</v>
      </c>
      <c r="O101" s="125">
        <f>1.19*0.64*0.055</f>
        <v>0.041887999999999995</v>
      </c>
      <c r="P101" s="5"/>
      <c r="Q101" s="8"/>
    </row>
    <row r="102" spans="1:17" ht="24" customHeight="1">
      <c r="A102" s="105" t="s">
        <v>297</v>
      </c>
      <c r="B102" s="106" t="s">
        <v>549</v>
      </c>
      <c r="C102" s="69"/>
      <c r="D102" s="68" t="s">
        <v>668</v>
      </c>
      <c r="E102" s="70">
        <v>6</v>
      </c>
      <c r="F102" s="54" t="s">
        <v>568</v>
      </c>
      <c r="G102" s="55" t="s">
        <v>247</v>
      </c>
      <c r="H102" s="108">
        <v>2170</v>
      </c>
      <c r="I102" s="55" t="s">
        <v>42</v>
      </c>
      <c r="J102" s="56">
        <v>1</v>
      </c>
      <c r="K102" s="55" t="s">
        <v>299</v>
      </c>
      <c r="L102" s="55" t="s">
        <v>514</v>
      </c>
      <c r="M102" s="55"/>
      <c r="N102" s="125">
        <v>11.3</v>
      </c>
      <c r="O102" s="125">
        <v>0.13</v>
      </c>
      <c r="P102" s="6"/>
      <c r="Q102" s="8"/>
    </row>
    <row r="103" spans="1:17" ht="24" customHeight="1">
      <c r="A103" s="105" t="s">
        <v>296</v>
      </c>
      <c r="B103" s="106" t="s">
        <v>549</v>
      </c>
      <c r="C103" s="69"/>
      <c r="D103" s="68" t="s">
        <v>668</v>
      </c>
      <c r="E103" s="70">
        <v>6</v>
      </c>
      <c r="F103" s="54" t="s">
        <v>567</v>
      </c>
      <c r="G103" s="55" t="s">
        <v>247</v>
      </c>
      <c r="H103" s="108">
        <v>2430</v>
      </c>
      <c r="I103" s="55" t="s">
        <v>42</v>
      </c>
      <c r="J103" s="56">
        <v>1</v>
      </c>
      <c r="K103" s="55" t="s">
        <v>298</v>
      </c>
      <c r="L103" s="55" t="s">
        <v>513</v>
      </c>
      <c r="M103" s="55"/>
      <c r="N103" s="125">
        <v>15</v>
      </c>
      <c r="O103" s="125">
        <v>0.16</v>
      </c>
      <c r="P103" s="6"/>
      <c r="Q103" s="8"/>
    </row>
    <row r="104" spans="1:17" ht="18" customHeight="1">
      <c r="A104" s="105" t="s">
        <v>202</v>
      </c>
      <c r="B104" s="106" t="s">
        <v>550</v>
      </c>
      <c r="C104" s="69" t="s">
        <v>614</v>
      </c>
      <c r="D104" s="68" t="s">
        <v>669</v>
      </c>
      <c r="E104" s="70">
        <v>6</v>
      </c>
      <c r="F104" s="54" t="s">
        <v>225</v>
      </c>
      <c r="G104" s="55" t="s">
        <v>227</v>
      </c>
      <c r="H104" s="108">
        <v>2340</v>
      </c>
      <c r="I104" s="55" t="s">
        <v>42</v>
      </c>
      <c r="J104" s="56">
        <v>1</v>
      </c>
      <c r="K104" s="55" t="s">
        <v>51</v>
      </c>
      <c r="L104" s="55" t="s">
        <v>497</v>
      </c>
      <c r="M104" s="55"/>
      <c r="N104" s="125">
        <v>19.5</v>
      </c>
      <c r="O104" s="125">
        <f>1.29*0.29*0.08</f>
        <v>0.029928</v>
      </c>
      <c r="P104" s="5"/>
      <c r="Q104" s="8"/>
    </row>
    <row r="105" spans="1:17" ht="18" customHeight="1">
      <c r="A105" s="105" t="s">
        <v>203</v>
      </c>
      <c r="B105" s="106" t="s">
        <v>549</v>
      </c>
      <c r="C105" s="69"/>
      <c r="D105" s="68" t="s">
        <v>668</v>
      </c>
      <c r="E105" s="70">
        <v>7</v>
      </c>
      <c r="F105" s="54" t="s">
        <v>355</v>
      </c>
      <c r="G105" s="55" t="s">
        <v>227</v>
      </c>
      <c r="H105" s="108">
        <v>2520</v>
      </c>
      <c r="I105" s="55" t="s">
        <v>42</v>
      </c>
      <c r="J105" s="55">
        <v>1</v>
      </c>
      <c r="K105" s="55" t="s">
        <v>356</v>
      </c>
      <c r="L105" s="55" t="s">
        <v>132</v>
      </c>
      <c r="M105" s="55"/>
      <c r="N105" s="125">
        <v>20.5</v>
      </c>
      <c r="O105" s="125">
        <f>0.83*0.34*0.115</f>
        <v>0.032453</v>
      </c>
      <c r="P105" s="5"/>
      <c r="Q105" s="8"/>
    </row>
    <row r="106" spans="1:17" ht="18" customHeight="1">
      <c r="A106" s="103" t="s">
        <v>5</v>
      </c>
      <c r="B106" s="104" t="s">
        <v>550</v>
      </c>
      <c r="C106" s="69" t="s">
        <v>614</v>
      </c>
      <c r="D106" s="68" t="s">
        <v>669</v>
      </c>
      <c r="E106" s="68">
        <v>12</v>
      </c>
      <c r="F106" s="54" t="s">
        <v>428</v>
      </c>
      <c r="G106" s="55" t="s">
        <v>227</v>
      </c>
      <c r="H106" s="108">
        <v>3090</v>
      </c>
      <c r="I106" s="55" t="s">
        <v>42</v>
      </c>
      <c r="J106" s="56">
        <v>1</v>
      </c>
      <c r="K106" s="55" t="s">
        <v>425</v>
      </c>
      <c r="L106" s="55" t="s">
        <v>496</v>
      </c>
      <c r="M106" s="55"/>
      <c r="N106" s="125">
        <v>30</v>
      </c>
      <c r="O106" s="125">
        <f>1.85*0.26*0.12</f>
        <v>0.05772</v>
      </c>
      <c r="P106" s="14"/>
      <c r="Q106" s="8"/>
    </row>
    <row r="107" spans="1:17" ht="18" customHeight="1">
      <c r="A107" s="105" t="s">
        <v>204</v>
      </c>
      <c r="B107" s="106" t="s">
        <v>549</v>
      </c>
      <c r="C107" s="69"/>
      <c r="D107" s="68" t="s">
        <v>668</v>
      </c>
      <c r="E107" s="70">
        <v>12</v>
      </c>
      <c r="F107" s="61" t="s">
        <v>357</v>
      </c>
      <c r="G107" s="55" t="s">
        <v>227</v>
      </c>
      <c r="H107" s="108">
        <v>2250</v>
      </c>
      <c r="I107" s="55" t="s">
        <v>42</v>
      </c>
      <c r="J107" s="56">
        <v>1</v>
      </c>
      <c r="K107" s="55" t="s">
        <v>29</v>
      </c>
      <c r="L107" s="55" t="s">
        <v>83</v>
      </c>
      <c r="M107" s="55"/>
      <c r="N107" s="125">
        <v>25</v>
      </c>
      <c r="O107" s="125">
        <f>1.91*0.26*0.1</f>
        <v>0.04966</v>
      </c>
      <c r="P107" s="5"/>
      <c r="Q107" s="8"/>
    </row>
    <row r="108" spans="1:17" ht="18" customHeight="1">
      <c r="A108" s="103" t="s">
        <v>464</v>
      </c>
      <c r="B108" s="106" t="s">
        <v>549</v>
      </c>
      <c r="C108" s="69"/>
      <c r="D108" s="68" t="s">
        <v>668</v>
      </c>
      <c r="E108" s="68">
        <v>30</v>
      </c>
      <c r="F108" s="54" t="s">
        <v>428</v>
      </c>
      <c r="G108" s="55" t="s">
        <v>227</v>
      </c>
      <c r="H108" s="108">
        <v>4540</v>
      </c>
      <c r="I108" s="55" t="s">
        <v>42</v>
      </c>
      <c r="J108" s="56">
        <v>1</v>
      </c>
      <c r="K108" s="55" t="s">
        <v>465</v>
      </c>
      <c r="L108" s="55" t="s">
        <v>466</v>
      </c>
      <c r="M108" s="55"/>
      <c r="N108" s="125">
        <v>39.6</v>
      </c>
      <c r="O108" s="125">
        <f>1.85*0.26*0.12</f>
        <v>0.05772</v>
      </c>
      <c r="P108" s="6"/>
      <c r="Q108" s="8"/>
    </row>
    <row r="109" spans="1:17" ht="38.25" customHeight="1">
      <c r="A109" s="105" t="s">
        <v>436</v>
      </c>
      <c r="B109" s="196" t="s">
        <v>582</v>
      </c>
      <c r="C109" s="197"/>
      <c r="D109" s="197"/>
      <c r="E109" s="198"/>
      <c r="F109" s="61" t="s">
        <v>437</v>
      </c>
      <c r="G109" s="55" t="s">
        <v>247</v>
      </c>
      <c r="H109" s="108">
        <v>4220</v>
      </c>
      <c r="I109" s="55" t="s">
        <v>42</v>
      </c>
      <c r="J109" s="56">
        <v>1</v>
      </c>
      <c r="K109" s="55" t="s">
        <v>438</v>
      </c>
      <c r="L109" s="55"/>
      <c r="M109" s="55"/>
      <c r="N109" s="125"/>
      <c r="O109" s="125"/>
      <c r="P109" s="5"/>
      <c r="Q109" s="8"/>
    </row>
    <row r="110" spans="1:17" ht="24" customHeight="1">
      <c r="A110" s="103" t="s">
        <v>566</v>
      </c>
      <c r="B110" s="104" t="s">
        <v>550</v>
      </c>
      <c r="C110" s="69" t="s">
        <v>614</v>
      </c>
      <c r="D110" s="68" t="s">
        <v>669</v>
      </c>
      <c r="E110" s="68">
        <v>30</v>
      </c>
      <c r="F110" s="54" t="s">
        <v>570</v>
      </c>
      <c r="G110" s="55" t="s">
        <v>227</v>
      </c>
      <c r="H110" s="108">
        <v>1090</v>
      </c>
      <c r="I110" s="55" t="s">
        <v>42</v>
      </c>
      <c r="J110" s="56">
        <v>1</v>
      </c>
      <c r="K110" s="55" t="s">
        <v>603</v>
      </c>
      <c r="L110" s="55" t="s">
        <v>584</v>
      </c>
      <c r="M110" s="55"/>
      <c r="N110" s="125">
        <v>11.65</v>
      </c>
      <c r="O110" s="125">
        <v>0.009</v>
      </c>
      <c r="P110" s="6"/>
      <c r="Q110" s="8"/>
    </row>
    <row r="111" spans="1:17" ht="18" customHeight="1">
      <c r="A111" s="103" t="s">
        <v>565</v>
      </c>
      <c r="B111" s="104" t="s">
        <v>550</v>
      </c>
      <c r="C111" s="69" t="s">
        <v>614</v>
      </c>
      <c r="D111" s="68" t="s">
        <v>669</v>
      </c>
      <c r="E111" s="68">
        <v>30</v>
      </c>
      <c r="F111" s="54" t="s">
        <v>569</v>
      </c>
      <c r="G111" s="55" t="s">
        <v>227</v>
      </c>
      <c r="H111" s="108">
        <v>2090</v>
      </c>
      <c r="I111" s="55" t="s">
        <v>42</v>
      </c>
      <c r="J111" s="56">
        <v>1</v>
      </c>
      <c r="K111" s="55" t="s">
        <v>606</v>
      </c>
      <c r="L111" s="55" t="s">
        <v>589</v>
      </c>
      <c r="M111" s="55"/>
      <c r="N111" s="125">
        <v>3.78</v>
      </c>
      <c r="O111" s="125">
        <v>0.026</v>
      </c>
      <c r="P111" s="6"/>
      <c r="Q111" s="8"/>
    </row>
    <row r="112" spans="1:17" ht="23.25" customHeight="1">
      <c r="A112" s="103" t="s">
        <v>572</v>
      </c>
      <c r="B112" s="104" t="s">
        <v>550</v>
      </c>
      <c r="C112" s="69" t="s">
        <v>614</v>
      </c>
      <c r="D112" s="68" t="s">
        <v>669</v>
      </c>
      <c r="E112" s="68">
        <v>30</v>
      </c>
      <c r="F112" s="54" t="s">
        <v>573</v>
      </c>
      <c r="G112" s="55" t="s">
        <v>227</v>
      </c>
      <c r="H112" s="108">
        <v>1090</v>
      </c>
      <c r="I112" s="55" t="s">
        <v>42</v>
      </c>
      <c r="J112" s="56">
        <v>1</v>
      </c>
      <c r="K112" s="55" t="s">
        <v>603</v>
      </c>
      <c r="L112" s="55" t="s">
        <v>584</v>
      </c>
      <c r="M112" s="55"/>
      <c r="N112" s="125">
        <v>3.4</v>
      </c>
      <c r="O112" s="125">
        <v>0.008</v>
      </c>
      <c r="P112" s="6"/>
      <c r="Q112" s="8"/>
    </row>
    <row r="113" spans="1:17" ht="23.25" customHeight="1">
      <c r="A113" s="103" t="s">
        <v>574</v>
      </c>
      <c r="B113" s="104" t="s">
        <v>550</v>
      </c>
      <c r="C113" s="69" t="s">
        <v>614</v>
      </c>
      <c r="D113" s="68" t="s">
        <v>669</v>
      </c>
      <c r="E113" s="68">
        <v>30</v>
      </c>
      <c r="F113" s="54" t="s">
        <v>577</v>
      </c>
      <c r="G113" s="55" t="s">
        <v>227</v>
      </c>
      <c r="H113" s="108">
        <v>2340</v>
      </c>
      <c r="I113" s="55" t="s">
        <v>42</v>
      </c>
      <c r="J113" s="56">
        <v>1</v>
      </c>
      <c r="K113" s="55" t="s">
        <v>578</v>
      </c>
      <c r="L113" s="55" t="s">
        <v>587</v>
      </c>
      <c r="M113" s="55"/>
      <c r="N113" s="125">
        <v>15.3</v>
      </c>
      <c r="O113" s="125">
        <v>0.031</v>
      </c>
      <c r="P113" s="6"/>
      <c r="Q113" s="8"/>
    </row>
    <row r="114" spans="1:17" ht="23.25" customHeight="1">
      <c r="A114" s="103" t="s">
        <v>575</v>
      </c>
      <c r="B114" s="104" t="s">
        <v>550</v>
      </c>
      <c r="C114" s="69" t="s">
        <v>614</v>
      </c>
      <c r="D114" s="68" t="s">
        <v>669</v>
      </c>
      <c r="E114" s="68">
        <v>30</v>
      </c>
      <c r="F114" s="54" t="s">
        <v>579</v>
      </c>
      <c r="G114" s="55" t="s">
        <v>227</v>
      </c>
      <c r="H114" s="108">
        <v>700</v>
      </c>
      <c r="I114" s="55" t="s">
        <v>42</v>
      </c>
      <c r="J114" s="56">
        <v>1</v>
      </c>
      <c r="K114" s="55" t="s">
        <v>580</v>
      </c>
      <c r="L114" s="55" t="s">
        <v>585</v>
      </c>
      <c r="M114" s="55"/>
      <c r="N114" s="125">
        <v>3.82</v>
      </c>
      <c r="O114" s="125">
        <v>0.009</v>
      </c>
      <c r="P114" s="6"/>
      <c r="Q114" s="8"/>
    </row>
    <row r="115" spans="1:17" ht="23.25" customHeight="1">
      <c r="A115" s="103" t="s">
        <v>576</v>
      </c>
      <c r="B115" s="104" t="s">
        <v>550</v>
      </c>
      <c r="C115" s="69" t="s">
        <v>614</v>
      </c>
      <c r="D115" s="68" t="s">
        <v>669</v>
      </c>
      <c r="E115" s="68">
        <v>30</v>
      </c>
      <c r="F115" s="54" t="s">
        <v>581</v>
      </c>
      <c r="G115" s="55" t="s">
        <v>227</v>
      </c>
      <c r="H115" s="108">
        <v>3000</v>
      </c>
      <c r="I115" s="55" t="s">
        <v>42</v>
      </c>
      <c r="J115" s="56">
        <v>1</v>
      </c>
      <c r="K115" s="55" t="s">
        <v>604</v>
      </c>
      <c r="L115" s="55" t="s">
        <v>588</v>
      </c>
      <c r="M115" s="55"/>
      <c r="N115" s="125">
        <v>16.8</v>
      </c>
      <c r="O115" s="125">
        <v>0.033</v>
      </c>
      <c r="P115" s="6"/>
      <c r="Q115" s="8"/>
    </row>
    <row r="116" spans="1:17" ht="36.75" customHeight="1">
      <c r="A116" s="103" t="s">
        <v>441</v>
      </c>
      <c r="B116" s="104" t="s">
        <v>549</v>
      </c>
      <c r="C116" s="69"/>
      <c r="D116" s="68" t="s">
        <v>612</v>
      </c>
      <c r="E116" s="68">
        <v>6</v>
      </c>
      <c r="F116" s="61" t="s">
        <v>446</v>
      </c>
      <c r="G116" s="55" t="s">
        <v>447</v>
      </c>
      <c r="H116" s="108">
        <v>6520</v>
      </c>
      <c r="I116" s="55" t="s">
        <v>42</v>
      </c>
      <c r="J116" s="56">
        <v>3</v>
      </c>
      <c r="K116" s="64" t="s">
        <v>448</v>
      </c>
      <c r="L116" s="55" t="s">
        <v>515</v>
      </c>
      <c r="M116" s="55" t="s">
        <v>516</v>
      </c>
      <c r="N116" s="125">
        <v>24.5</v>
      </c>
      <c r="O116" s="125">
        <v>0.08</v>
      </c>
      <c r="P116" s="6"/>
      <c r="Q116" s="8"/>
    </row>
    <row r="117" spans="1:17" ht="39.75" customHeight="1">
      <c r="A117" s="103" t="s">
        <v>442</v>
      </c>
      <c r="B117" s="104" t="s">
        <v>549</v>
      </c>
      <c r="C117" s="69"/>
      <c r="D117" s="68" t="s">
        <v>612</v>
      </c>
      <c r="E117" s="68">
        <v>6</v>
      </c>
      <c r="F117" s="57" t="s">
        <v>444</v>
      </c>
      <c r="G117" s="55" t="s">
        <v>247</v>
      </c>
      <c r="H117" s="108">
        <v>8950</v>
      </c>
      <c r="I117" s="55" t="s">
        <v>42</v>
      </c>
      <c r="J117" s="56">
        <v>3</v>
      </c>
      <c r="K117" s="64" t="s">
        <v>449</v>
      </c>
      <c r="L117" s="55" t="s">
        <v>517</v>
      </c>
      <c r="M117" s="55" t="s">
        <v>518</v>
      </c>
      <c r="N117" s="125">
        <v>34.5</v>
      </c>
      <c r="O117" s="125">
        <v>0.1</v>
      </c>
      <c r="P117" s="6"/>
      <c r="Q117" s="8"/>
    </row>
    <row r="118" spans="1:17" ht="25.5">
      <c r="A118" s="103" t="s">
        <v>443</v>
      </c>
      <c r="B118" s="104" t="s">
        <v>550</v>
      </c>
      <c r="C118" s="69" t="s">
        <v>671</v>
      </c>
      <c r="D118" s="68" t="s">
        <v>612</v>
      </c>
      <c r="E118" s="68">
        <v>6</v>
      </c>
      <c r="F118" s="57" t="s">
        <v>445</v>
      </c>
      <c r="G118" s="55" t="s">
        <v>247</v>
      </c>
      <c r="H118" s="108">
        <v>1590</v>
      </c>
      <c r="I118" s="55" t="s">
        <v>42</v>
      </c>
      <c r="J118" s="56">
        <v>1</v>
      </c>
      <c r="K118" s="64" t="s">
        <v>450</v>
      </c>
      <c r="L118" s="55" t="s">
        <v>468</v>
      </c>
      <c r="M118" s="63"/>
      <c r="N118" s="125">
        <v>5.5</v>
      </c>
      <c r="O118" s="125">
        <v>0.02</v>
      </c>
      <c r="P118" s="6"/>
      <c r="Q118" s="8"/>
    </row>
    <row r="119" spans="1:17" ht="24" customHeight="1">
      <c r="A119" s="103" t="s">
        <v>475</v>
      </c>
      <c r="B119" s="104" t="s">
        <v>550</v>
      </c>
      <c r="C119" s="69" t="s">
        <v>614</v>
      </c>
      <c r="D119" s="68" t="s">
        <v>669</v>
      </c>
      <c r="E119" s="68">
        <v>10</v>
      </c>
      <c r="F119" s="57" t="s">
        <v>478</v>
      </c>
      <c r="G119" s="55" t="s">
        <v>247</v>
      </c>
      <c r="H119" s="108">
        <v>3000</v>
      </c>
      <c r="I119" s="55" t="s">
        <v>42</v>
      </c>
      <c r="J119" s="56">
        <v>1</v>
      </c>
      <c r="K119" s="64" t="s">
        <v>528</v>
      </c>
      <c r="L119" s="55" t="s">
        <v>483</v>
      </c>
      <c r="M119" s="55"/>
      <c r="N119" s="125">
        <v>18.9</v>
      </c>
      <c r="O119" s="125">
        <v>0.05</v>
      </c>
      <c r="P119" s="6"/>
      <c r="Q119" s="8"/>
    </row>
    <row r="120" spans="1:17" ht="24" customHeight="1">
      <c r="A120" s="103" t="s">
        <v>526</v>
      </c>
      <c r="B120" s="104" t="s">
        <v>549</v>
      </c>
      <c r="C120" s="69"/>
      <c r="D120" s="68" t="s">
        <v>669</v>
      </c>
      <c r="E120" s="68">
        <v>10</v>
      </c>
      <c r="F120" s="57" t="s">
        <v>478</v>
      </c>
      <c r="G120" s="55" t="s">
        <v>247</v>
      </c>
      <c r="H120" s="108">
        <v>3650</v>
      </c>
      <c r="I120" s="55" t="s">
        <v>42</v>
      </c>
      <c r="J120" s="56">
        <v>1</v>
      </c>
      <c r="K120" s="64" t="s">
        <v>533</v>
      </c>
      <c r="L120" s="55" t="s">
        <v>527</v>
      </c>
      <c r="M120" s="55"/>
      <c r="N120" s="125">
        <v>23.1</v>
      </c>
      <c r="O120" s="125">
        <v>0.07</v>
      </c>
      <c r="P120" s="6"/>
      <c r="Q120" s="8"/>
    </row>
    <row r="121" spans="1:17" ht="24" customHeight="1">
      <c r="A121" s="103" t="s">
        <v>530</v>
      </c>
      <c r="B121" s="104" t="s">
        <v>549</v>
      </c>
      <c r="C121" s="69"/>
      <c r="D121" s="68" t="s">
        <v>668</v>
      </c>
      <c r="E121" s="68">
        <v>12</v>
      </c>
      <c r="F121" s="57" t="s">
        <v>478</v>
      </c>
      <c r="G121" s="55" t="s">
        <v>247</v>
      </c>
      <c r="H121" s="108">
        <v>1380</v>
      </c>
      <c r="I121" s="55" t="s">
        <v>42</v>
      </c>
      <c r="J121" s="56">
        <v>1</v>
      </c>
      <c r="K121" s="64" t="s">
        <v>531</v>
      </c>
      <c r="L121" s="55" t="s">
        <v>532</v>
      </c>
      <c r="M121" s="55"/>
      <c r="N121" s="125">
        <v>9.9</v>
      </c>
      <c r="O121" s="125">
        <v>0.025</v>
      </c>
      <c r="P121" s="6"/>
      <c r="Q121" s="8"/>
    </row>
    <row r="122" spans="1:17" ht="27.75" customHeight="1">
      <c r="A122" s="103" t="s">
        <v>6</v>
      </c>
      <c r="B122" s="104" t="s">
        <v>550</v>
      </c>
      <c r="C122" s="69" t="s">
        <v>672</v>
      </c>
      <c r="D122" s="68" t="s">
        <v>615</v>
      </c>
      <c r="E122" s="68">
        <v>12</v>
      </c>
      <c r="F122" s="54" t="s">
        <v>226</v>
      </c>
      <c r="G122" s="55" t="s">
        <v>227</v>
      </c>
      <c r="H122" s="108">
        <v>420</v>
      </c>
      <c r="I122" s="55" t="s">
        <v>42</v>
      </c>
      <c r="J122" s="56">
        <v>1</v>
      </c>
      <c r="K122" s="55" t="s">
        <v>52</v>
      </c>
      <c r="L122" s="55" t="s">
        <v>84</v>
      </c>
      <c r="M122" s="55"/>
      <c r="N122" s="125">
        <v>3.5</v>
      </c>
      <c r="O122" s="137">
        <f>0.78*0.26*0.04</f>
        <v>0.008112000000000001</v>
      </c>
      <c r="P122" s="14"/>
      <c r="Q122" s="8"/>
    </row>
    <row r="123" spans="1:17" ht="18" customHeight="1">
      <c r="A123" s="103" t="s">
        <v>7</v>
      </c>
      <c r="B123" s="104" t="s">
        <v>550</v>
      </c>
      <c r="C123" s="69" t="s">
        <v>671</v>
      </c>
      <c r="D123" s="68" t="s">
        <v>612</v>
      </c>
      <c r="E123" s="68">
        <v>12</v>
      </c>
      <c r="F123" s="54" t="s">
        <v>226</v>
      </c>
      <c r="G123" s="55" t="s">
        <v>227</v>
      </c>
      <c r="H123" s="108">
        <v>420</v>
      </c>
      <c r="I123" s="55" t="s">
        <v>42</v>
      </c>
      <c r="J123" s="56">
        <v>1</v>
      </c>
      <c r="K123" s="56" t="s">
        <v>85</v>
      </c>
      <c r="L123" s="55" t="s">
        <v>84</v>
      </c>
      <c r="M123" s="55"/>
      <c r="N123" s="125">
        <v>3.5</v>
      </c>
      <c r="O123" s="137">
        <f>0.78*0.26*0.04</f>
        <v>0.008112000000000001</v>
      </c>
      <c r="P123" s="14"/>
      <c r="Q123" s="8"/>
    </row>
    <row r="124" spans="1:17" ht="18" customHeight="1">
      <c r="A124" s="103" t="s">
        <v>192</v>
      </c>
      <c r="B124" s="104" t="s">
        <v>550</v>
      </c>
      <c r="C124" s="69" t="s">
        <v>614</v>
      </c>
      <c r="D124" s="68" t="s">
        <v>669</v>
      </c>
      <c r="E124" s="68">
        <v>12</v>
      </c>
      <c r="F124" s="54" t="s">
        <v>267</v>
      </c>
      <c r="G124" s="55" t="s">
        <v>227</v>
      </c>
      <c r="H124" s="108">
        <v>580</v>
      </c>
      <c r="I124" s="55" t="s">
        <v>42</v>
      </c>
      <c r="J124" s="55">
        <v>1</v>
      </c>
      <c r="K124" s="55" t="s">
        <v>53</v>
      </c>
      <c r="L124" s="55" t="s">
        <v>117</v>
      </c>
      <c r="M124" s="55"/>
      <c r="N124" s="125">
        <v>3</v>
      </c>
      <c r="O124" s="125">
        <f>0.53*0.28*0.06</f>
        <v>0.008904000000000002</v>
      </c>
      <c r="P124" s="7"/>
      <c r="Q124" s="8"/>
    </row>
    <row r="125" spans="1:17" ht="18" customHeight="1">
      <c r="A125" s="103" t="s">
        <v>258</v>
      </c>
      <c r="B125" s="104" t="s">
        <v>549</v>
      </c>
      <c r="C125" s="69" t="s">
        <v>614</v>
      </c>
      <c r="D125" s="68" t="s">
        <v>669</v>
      </c>
      <c r="E125" s="68">
        <v>12</v>
      </c>
      <c r="F125" s="54" t="s">
        <v>226</v>
      </c>
      <c r="G125" s="55" t="s">
        <v>227</v>
      </c>
      <c r="H125" s="108">
        <v>2010</v>
      </c>
      <c r="I125" s="55" t="s">
        <v>42</v>
      </c>
      <c r="J125" s="55">
        <v>1</v>
      </c>
      <c r="K125" s="55" t="s">
        <v>259</v>
      </c>
      <c r="L125" s="55" t="s">
        <v>260</v>
      </c>
      <c r="M125" s="55"/>
      <c r="N125" s="125">
        <v>22</v>
      </c>
      <c r="O125" s="125">
        <v>0.03</v>
      </c>
      <c r="P125" s="7"/>
      <c r="Q125" s="8"/>
    </row>
    <row r="126" spans="1:17" ht="18" customHeight="1">
      <c r="A126" s="103" t="s">
        <v>8</v>
      </c>
      <c r="B126" s="104" t="s">
        <v>549</v>
      </c>
      <c r="C126" s="69"/>
      <c r="D126" s="68" t="s">
        <v>668</v>
      </c>
      <c r="E126" s="68">
        <v>12</v>
      </c>
      <c r="F126" s="54" t="s">
        <v>226</v>
      </c>
      <c r="G126" s="55" t="s">
        <v>227</v>
      </c>
      <c r="H126" s="108">
        <v>420</v>
      </c>
      <c r="I126" s="55" t="s">
        <v>42</v>
      </c>
      <c r="J126" s="56">
        <v>1</v>
      </c>
      <c r="K126" s="55" t="s">
        <v>358</v>
      </c>
      <c r="L126" s="55" t="s">
        <v>146</v>
      </c>
      <c r="M126" s="55"/>
      <c r="N126" s="125">
        <v>2.5</v>
      </c>
      <c r="O126" s="136">
        <v>0.005</v>
      </c>
      <c r="P126" s="14"/>
      <c r="Q126" s="8"/>
    </row>
    <row r="127" spans="1:17" ht="18" customHeight="1">
      <c r="A127" s="103" t="s">
        <v>268</v>
      </c>
      <c r="B127" s="104" t="s">
        <v>549</v>
      </c>
      <c r="C127" s="69"/>
      <c r="D127" s="68" t="s">
        <v>668</v>
      </c>
      <c r="E127" s="68">
        <v>12</v>
      </c>
      <c r="F127" s="54" t="s">
        <v>270</v>
      </c>
      <c r="G127" s="55" t="s">
        <v>247</v>
      </c>
      <c r="H127" s="108">
        <v>800</v>
      </c>
      <c r="I127" s="55" t="s">
        <v>42</v>
      </c>
      <c r="J127" s="56">
        <v>1</v>
      </c>
      <c r="K127" s="55" t="s">
        <v>272</v>
      </c>
      <c r="L127" s="55" t="s">
        <v>279</v>
      </c>
      <c r="M127" s="55"/>
      <c r="N127" s="125">
        <v>7.7</v>
      </c>
      <c r="O127" s="136">
        <f>1*0.26*0.07</f>
        <v>0.0182</v>
      </c>
      <c r="P127" s="5"/>
      <c r="Q127" s="8"/>
    </row>
    <row r="128" spans="1:17" ht="30" customHeight="1">
      <c r="A128" s="105" t="s">
        <v>269</v>
      </c>
      <c r="B128" s="106" t="s">
        <v>550</v>
      </c>
      <c r="C128" s="69" t="s">
        <v>672</v>
      </c>
      <c r="D128" s="68" t="s">
        <v>615</v>
      </c>
      <c r="E128" s="68">
        <v>12</v>
      </c>
      <c r="F128" s="54" t="s">
        <v>270</v>
      </c>
      <c r="G128" s="55" t="s">
        <v>247</v>
      </c>
      <c r="H128" s="108">
        <v>750</v>
      </c>
      <c r="I128" s="55" t="s">
        <v>42</v>
      </c>
      <c r="J128" s="56">
        <v>1</v>
      </c>
      <c r="K128" s="55" t="s">
        <v>271</v>
      </c>
      <c r="L128" s="55" t="s">
        <v>280</v>
      </c>
      <c r="M128" s="55"/>
      <c r="N128" s="125">
        <v>7.3</v>
      </c>
      <c r="O128" s="136">
        <f>1*0.2*0.06</f>
        <v>0.012</v>
      </c>
      <c r="P128" s="3"/>
      <c r="Q128" s="4"/>
    </row>
    <row r="129" spans="1:17" ht="25.5" customHeight="1">
      <c r="A129" s="105" t="s">
        <v>469</v>
      </c>
      <c r="B129" s="106" t="s">
        <v>549</v>
      </c>
      <c r="C129" s="69"/>
      <c r="D129" s="68" t="s">
        <v>668</v>
      </c>
      <c r="E129" s="68">
        <v>12</v>
      </c>
      <c r="F129" s="54" t="s">
        <v>270</v>
      </c>
      <c r="G129" s="55" t="s">
        <v>247</v>
      </c>
      <c r="H129" s="108">
        <v>1740</v>
      </c>
      <c r="I129" s="55" t="s">
        <v>470</v>
      </c>
      <c r="J129" s="56">
        <v>2</v>
      </c>
      <c r="K129" s="55" t="s">
        <v>605</v>
      </c>
      <c r="L129" s="55" t="s">
        <v>472</v>
      </c>
      <c r="M129" s="55" t="s">
        <v>471</v>
      </c>
      <c r="N129" s="125">
        <v>8</v>
      </c>
      <c r="O129" s="136">
        <v>0.014</v>
      </c>
      <c r="P129" s="6"/>
      <c r="Q129" s="4"/>
    </row>
    <row r="130" spans="1:17" ht="28.5" customHeight="1">
      <c r="A130" s="105" t="s">
        <v>505</v>
      </c>
      <c r="B130" s="106" t="s">
        <v>550</v>
      </c>
      <c r="C130" s="69" t="s">
        <v>672</v>
      </c>
      <c r="D130" s="68" t="s">
        <v>615</v>
      </c>
      <c r="E130" s="68">
        <v>12</v>
      </c>
      <c r="F130" s="54" t="s">
        <v>506</v>
      </c>
      <c r="G130" s="55" t="s">
        <v>247</v>
      </c>
      <c r="H130" s="108">
        <v>1460</v>
      </c>
      <c r="I130" s="55" t="s">
        <v>42</v>
      </c>
      <c r="J130" s="56">
        <v>1</v>
      </c>
      <c r="K130" s="55" t="s">
        <v>504</v>
      </c>
      <c r="L130" s="55" t="s">
        <v>508</v>
      </c>
      <c r="M130" s="55"/>
      <c r="N130" s="125">
        <v>17.6</v>
      </c>
      <c r="O130" s="136">
        <v>0.053</v>
      </c>
      <c r="P130" s="6"/>
      <c r="Q130" s="4"/>
    </row>
    <row r="131" spans="1:17" ht="27" customHeight="1">
      <c r="A131" s="105" t="s">
        <v>485</v>
      </c>
      <c r="B131" s="106" t="s">
        <v>550</v>
      </c>
      <c r="C131" s="69" t="s">
        <v>672</v>
      </c>
      <c r="D131" s="68" t="s">
        <v>615</v>
      </c>
      <c r="E131" s="68">
        <v>12</v>
      </c>
      <c r="F131" s="54" t="s">
        <v>484</v>
      </c>
      <c r="G131" s="55" t="s">
        <v>247</v>
      </c>
      <c r="H131" s="108">
        <v>1920</v>
      </c>
      <c r="I131" s="55" t="s">
        <v>470</v>
      </c>
      <c r="J131" s="56">
        <v>1</v>
      </c>
      <c r="K131" s="55" t="s">
        <v>272</v>
      </c>
      <c r="L131" s="55" t="s">
        <v>279</v>
      </c>
      <c r="M131" s="55"/>
      <c r="N131" s="125">
        <v>12.46</v>
      </c>
      <c r="O131" s="136">
        <v>0.0222</v>
      </c>
      <c r="P131" s="6"/>
      <c r="Q131" s="4"/>
    </row>
    <row r="132" spans="1:17" ht="27" customHeight="1">
      <c r="A132" s="105" t="s">
        <v>663</v>
      </c>
      <c r="B132" s="106" t="s">
        <v>550</v>
      </c>
      <c r="C132" s="69" t="s">
        <v>672</v>
      </c>
      <c r="D132" s="68" t="s">
        <v>615</v>
      </c>
      <c r="E132" s="68">
        <v>12</v>
      </c>
      <c r="F132" s="54" t="s">
        <v>651</v>
      </c>
      <c r="G132" s="55" t="s">
        <v>247</v>
      </c>
      <c r="H132" s="108">
        <v>390</v>
      </c>
      <c r="I132" s="55" t="s">
        <v>470</v>
      </c>
      <c r="J132" s="56">
        <v>1</v>
      </c>
      <c r="K132" s="55" t="s">
        <v>649</v>
      </c>
      <c r="L132" s="55"/>
      <c r="M132" s="55"/>
      <c r="N132" s="125">
        <v>1</v>
      </c>
      <c r="O132" s="136"/>
      <c r="P132" s="6"/>
      <c r="Q132" s="4"/>
    </row>
    <row r="133" spans="1:17" ht="27" customHeight="1">
      <c r="A133" s="105" t="s">
        <v>664</v>
      </c>
      <c r="B133" s="106" t="s">
        <v>550</v>
      </c>
      <c r="C133" s="69" t="s">
        <v>650</v>
      </c>
      <c r="D133" s="68"/>
      <c r="E133" s="68"/>
      <c r="F133" s="54" t="s">
        <v>651</v>
      </c>
      <c r="G133" s="55" t="s">
        <v>247</v>
      </c>
      <c r="H133" s="108">
        <v>300</v>
      </c>
      <c r="I133" s="55" t="s">
        <v>470</v>
      </c>
      <c r="J133" s="56">
        <v>1</v>
      </c>
      <c r="K133" s="55" t="s">
        <v>649</v>
      </c>
      <c r="L133" s="55"/>
      <c r="M133" s="55"/>
      <c r="N133" s="125">
        <v>1</v>
      </c>
      <c r="O133" s="136"/>
      <c r="P133" s="6"/>
      <c r="Q133" s="4"/>
    </row>
    <row r="134" spans="1:17" ht="15" customHeight="1">
      <c r="A134" s="145" t="s">
        <v>560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7"/>
      <c r="P134" s="3"/>
      <c r="Q134" s="4"/>
    </row>
    <row r="135" spans="1:17" ht="18" customHeight="1">
      <c r="A135" s="105" t="s">
        <v>273</v>
      </c>
      <c r="B135" s="106" t="s">
        <v>550</v>
      </c>
      <c r="C135" s="69" t="s">
        <v>612</v>
      </c>
      <c r="D135" s="68" t="s">
        <v>671</v>
      </c>
      <c r="E135" s="70">
        <v>6</v>
      </c>
      <c r="F135" s="54" t="s">
        <v>274</v>
      </c>
      <c r="G135" s="55" t="s">
        <v>247</v>
      </c>
      <c r="H135" s="108">
        <v>4230</v>
      </c>
      <c r="I135" s="55" t="s">
        <v>42</v>
      </c>
      <c r="J135" s="55">
        <v>1</v>
      </c>
      <c r="K135" s="55" t="s">
        <v>275</v>
      </c>
      <c r="L135" s="55" t="s">
        <v>427</v>
      </c>
      <c r="M135" s="55"/>
      <c r="N135" s="125">
        <v>38.6</v>
      </c>
      <c r="O135" s="125">
        <v>0.07</v>
      </c>
      <c r="P135" s="5"/>
      <c r="Q135" s="4"/>
    </row>
    <row r="136" spans="1:17" ht="18" customHeight="1">
      <c r="A136" s="105" t="s">
        <v>652</v>
      </c>
      <c r="B136" s="106" t="s">
        <v>550</v>
      </c>
      <c r="C136" s="69" t="s">
        <v>612</v>
      </c>
      <c r="D136" s="68" t="s">
        <v>671</v>
      </c>
      <c r="E136" s="70">
        <v>6</v>
      </c>
      <c r="F136" s="54" t="s">
        <v>653</v>
      </c>
      <c r="G136" s="55" t="s">
        <v>247</v>
      </c>
      <c r="H136" s="108">
        <v>5110</v>
      </c>
      <c r="I136" s="55" t="s">
        <v>42</v>
      </c>
      <c r="J136" s="55">
        <v>1</v>
      </c>
      <c r="K136" s="55" t="s">
        <v>654</v>
      </c>
      <c r="L136" s="55"/>
      <c r="M136" s="55"/>
      <c r="N136" s="125">
        <v>51</v>
      </c>
      <c r="O136" s="125"/>
      <c r="P136" s="5"/>
      <c r="Q136" s="4"/>
    </row>
    <row r="137" spans="1:17" ht="36.75" customHeight="1">
      <c r="A137" s="105" t="s">
        <v>205</v>
      </c>
      <c r="B137" s="106" t="s">
        <v>549</v>
      </c>
      <c r="C137" s="69"/>
      <c r="D137" s="68" t="s">
        <v>668</v>
      </c>
      <c r="E137" s="68">
        <v>12</v>
      </c>
      <c r="F137" s="54" t="s">
        <v>359</v>
      </c>
      <c r="G137" s="55" t="s">
        <v>227</v>
      </c>
      <c r="H137" s="108">
        <v>2670</v>
      </c>
      <c r="I137" s="55" t="s">
        <v>42</v>
      </c>
      <c r="J137" s="55">
        <v>1</v>
      </c>
      <c r="K137" s="55" t="s">
        <v>30</v>
      </c>
      <c r="L137" s="55" t="s">
        <v>118</v>
      </c>
      <c r="M137" s="55"/>
      <c r="N137" s="125">
        <v>24</v>
      </c>
      <c r="O137" s="125">
        <f>0.92*0.5*0.1</f>
        <v>0.046000000000000006</v>
      </c>
      <c r="P137" s="5"/>
      <c r="Q137" s="4"/>
    </row>
    <row r="138" spans="1:17" ht="18" customHeight="1">
      <c r="A138" s="105" t="s">
        <v>206</v>
      </c>
      <c r="B138" s="106" t="s">
        <v>549</v>
      </c>
      <c r="C138" s="69"/>
      <c r="D138" s="68" t="s">
        <v>668</v>
      </c>
      <c r="E138" s="70">
        <v>12</v>
      </c>
      <c r="F138" s="54" t="s">
        <v>360</v>
      </c>
      <c r="G138" s="55" t="s">
        <v>227</v>
      </c>
      <c r="H138" s="108">
        <v>1950</v>
      </c>
      <c r="I138" s="55" t="s">
        <v>42</v>
      </c>
      <c r="J138" s="55">
        <v>1</v>
      </c>
      <c r="K138" s="55" t="s">
        <v>119</v>
      </c>
      <c r="L138" s="56" t="s">
        <v>120</v>
      </c>
      <c r="M138" s="55"/>
      <c r="N138" s="125">
        <v>17</v>
      </c>
      <c r="O138" s="126">
        <f>0.48*0.42*0.13</f>
        <v>0.026208</v>
      </c>
      <c r="P138" s="5"/>
      <c r="Q138" s="4"/>
    </row>
    <row r="139" spans="1:17" ht="27.75" customHeight="1">
      <c r="A139" s="105" t="s">
        <v>207</v>
      </c>
      <c r="B139" s="106" t="s">
        <v>550</v>
      </c>
      <c r="C139" s="69" t="s">
        <v>672</v>
      </c>
      <c r="D139" s="70" t="s">
        <v>615</v>
      </c>
      <c r="E139" s="70">
        <v>6</v>
      </c>
      <c r="F139" s="54" t="s">
        <v>361</v>
      </c>
      <c r="G139" s="55" t="s">
        <v>227</v>
      </c>
      <c r="H139" s="108">
        <v>2760</v>
      </c>
      <c r="I139" s="55" t="s">
        <v>42</v>
      </c>
      <c r="J139" s="56">
        <v>1</v>
      </c>
      <c r="K139" s="56" t="s">
        <v>121</v>
      </c>
      <c r="L139" s="55" t="s">
        <v>122</v>
      </c>
      <c r="M139" s="55"/>
      <c r="N139" s="125">
        <v>23.5</v>
      </c>
      <c r="O139" s="125">
        <f>0.5*0.45*0.155</f>
        <v>0.034875</v>
      </c>
      <c r="P139" s="5"/>
      <c r="Q139" s="4"/>
    </row>
    <row r="140" spans="1:17" ht="26.25" customHeight="1">
      <c r="A140" s="107" t="s">
        <v>208</v>
      </c>
      <c r="B140" s="106" t="s">
        <v>550</v>
      </c>
      <c r="C140" s="69" t="s">
        <v>671</v>
      </c>
      <c r="D140" s="70" t="s">
        <v>612</v>
      </c>
      <c r="E140" s="70">
        <v>6</v>
      </c>
      <c r="F140" s="54" t="s">
        <v>362</v>
      </c>
      <c r="G140" s="55" t="s">
        <v>227</v>
      </c>
      <c r="H140" s="108">
        <v>2920</v>
      </c>
      <c r="I140" s="55" t="s">
        <v>42</v>
      </c>
      <c r="J140" s="55">
        <v>1</v>
      </c>
      <c r="K140" s="56" t="s">
        <v>121</v>
      </c>
      <c r="L140" s="55" t="s">
        <v>122</v>
      </c>
      <c r="M140" s="55"/>
      <c r="N140" s="125">
        <v>23.5</v>
      </c>
      <c r="O140" s="125">
        <f>0.5*0.45*0.155</f>
        <v>0.034875</v>
      </c>
      <c r="P140" s="5"/>
      <c r="Q140" s="4"/>
    </row>
    <row r="141" spans="1:17" ht="24" customHeight="1">
      <c r="A141" s="105" t="s">
        <v>209</v>
      </c>
      <c r="B141" s="106" t="s">
        <v>549</v>
      </c>
      <c r="C141" s="69"/>
      <c r="D141" s="68" t="s">
        <v>668</v>
      </c>
      <c r="E141" s="70">
        <v>6</v>
      </c>
      <c r="F141" s="54" t="s">
        <v>617</v>
      </c>
      <c r="G141" s="55" t="s">
        <v>227</v>
      </c>
      <c r="H141" s="108">
        <v>3180</v>
      </c>
      <c r="I141" s="55" t="s">
        <v>42</v>
      </c>
      <c r="J141" s="55">
        <v>1</v>
      </c>
      <c r="K141" s="55" t="s">
        <v>54</v>
      </c>
      <c r="L141" s="55" t="s">
        <v>123</v>
      </c>
      <c r="M141" s="55"/>
      <c r="N141" s="125">
        <v>25.8</v>
      </c>
      <c r="O141" s="125">
        <f>0.58*0.47*0.14</f>
        <v>0.038164</v>
      </c>
      <c r="P141" s="5"/>
      <c r="Q141" s="4"/>
    </row>
    <row r="142" spans="1:17" ht="24" customHeight="1">
      <c r="A142" s="105" t="s">
        <v>210</v>
      </c>
      <c r="B142" s="106" t="s">
        <v>549</v>
      </c>
      <c r="C142" s="69"/>
      <c r="D142" s="68" t="s">
        <v>668</v>
      </c>
      <c r="E142" s="70">
        <v>6</v>
      </c>
      <c r="F142" s="54" t="s">
        <v>363</v>
      </c>
      <c r="G142" s="55" t="s">
        <v>227</v>
      </c>
      <c r="H142" s="108">
        <v>3920</v>
      </c>
      <c r="I142" s="55" t="s">
        <v>42</v>
      </c>
      <c r="J142" s="56">
        <v>1</v>
      </c>
      <c r="K142" s="55" t="s">
        <v>55</v>
      </c>
      <c r="L142" s="55" t="s">
        <v>124</v>
      </c>
      <c r="M142" s="55"/>
      <c r="N142" s="125">
        <v>31.5</v>
      </c>
      <c r="O142" s="125">
        <f>0.75*0.58*0.13</f>
        <v>0.056549999999999996</v>
      </c>
      <c r="P142" s="5"/>
      <c r="Q142" s="4"/>
    </row>
    <row r="143" spans="1:17" ht="18" customHeight="1">
      <c r="A143" s="105" t="s">
        <v>211</v>
      </c>
      <c r="B143" s="106" t="s">
        <v>550</v>
      </c>
      <c r="C143" s="69" t="s">
        <v>671</v>
      </c>
      <c r="D143" s="70" t="s">
        <v>612</v>
      </c>
      <c r="E143" s="70">
        <v>6</v>
      </c>
      <c r="F143" s="54" t="s">
        <v>236</v>
      </c>
      <c r="G143" s="55" t="s">
        <v>227</v>
      </c>
      <c r="H143" s="108">
        <v>1920</v>
      </c>
      <c r="I143" s="55" t="s">
        <v>42</v>
      </c>
      <c r="J143" s="55">
        <v>1</v>
      </c>
      <c r="K143" s="55" t="s">
        <v>56</v>
      </c>
      <c r="L143" s="55" t="s">
        <v>125</v>
      </c>
      <c r="M143" s="55"/>
      <c r="N143" s="125">
        <v>15.5</v>
      </c>
      <c r="O143" s="125">
        <f>0.52*0.42*0.13</f>
        <v>0.028392000000000004</v>
      </c>
      <c r="P143" s="5"/>
      <c r="Q143" s="4"/>
    </row>
    <row r="144" spans="1:17" ht="24" customHeight="1">
      <c r="A144" s="105" t="s">
        <v>212</v>
      </c>
      <c r="B144" s="106" t="s">
        <v>549</v>
      </c>
      <c r="C144" s="69"/>
      <c r="D144" s="70" t="s">
        <v>612</v>
      </c>
      <c r="E144" s="70">
        <v>6</v>
      </c>
      <c r="F144" s="54" t="s">
        <v>364</v>
      </c>
      <c r="G144" s="55" t="s">
        <v>227</v>
      </c>
      <c r="H144" s="108">
        <v>3340</v>
      </c>
      <c r="I144" s="55" t="s">
        <v>42</v>
      </c>
      <c r="J144" s="56">
        <v>1</v>
      </c>
      <c r="K144" s="55" t="s">
        <v>57</v>
      </c>
      <c r="L144" s="55" t="s">
        <v>126</v>
      </c>
      <c r="M144" s="55"/>
      <c r="N144" s="125">
        <v>31</v>
      </c>
      <c r="O144" s="125">
        <f>0.74*0.525*0.13</f>
        <v>0.050505</v>
      </c>
      <c r="P144" s="5"/>
      <c r="Q144" s="4"/>
    </row>
    <row r="145" spans="1:17" ht="24" customHeight="1">
      <c r="A145" s="105" t="s">
        <v>304</v>
      </c>
      <c r="B145" s="106" t="s">
        <v>549</v>
      </c>
      <c r="C145" s="69"/>
      <c r="D145" s="70" t="s">
        <v>612</v>
      </c>
      <c r="E145" s="70">
        <v>6</v>
      </c>
      <c r="F145" s="54" t="s">
        <v>327</v>
      </c>
      <c r="G145" s="55" t="s">
        <v>247</v>
      </c>
      <c r="H145" s="108">
        <v>3010</v>
      </c>
      <c r="I145" s="55" t="s">
        <v>42</v>
      </c>
      <c r="J145" s="55">
        <v>1</v>
      </c>
      <c r="K145" s="55" t="s">
        <v>306</v>
      </c>
      <c r="L145" s="55" t="s">
        <v>519</v>
      </c>
      <c r="M145" s="55"/>
      <c r="N145" s="125">
        <v>27.5</v>
      </c>
      <c r="O145" s="125">
        <v>0.05</v>
      </c>
      <c r="P145" s="6"/>
      <c r="Q145" s="4"/>
    </row>
    <row r="146" spans="1:17" ht="25.5">
      <c r="A146" s="105" t="s">
        <v>305</v>
      </c>
      <c r="B146" s="106" t="s">
        <v>549</v>
      </c>
      <c r="C146" s="69"/>
      <c r="D146" s="70" t="s">
        <v>612</v>
      </c>
      <c r="E146" s="70">
        <v>6</v>
      </c>
      <c r="F146" s="54" t="s">
        <v>237</v>
      </c>
      <c r="G146" s="55" t="s">
        <v>227</v>
      </c>
      <c r="H146" s="108">
        <v>3180</v>
      </c>
      <c r="I146" s="55" t="s">
        <v>42</v>
      </c>
      <c r="J146" s="55">
        <v>1</v>
      </c>
      <c r="K146" s="55" t="s">
        <v>31</v>
      </c>
      <c r="L146" s="55" t="s">
        <v>127</v>
      </c>
      <c r="M146" s="55"/>
      <c r="N146" s="125">
        <v>29.5</v>
      </c>
      <c r="O146" s="125">
        <f>0.74*0.52*0.12</f>
        <v>0.046176</v>
      </c>
      <c r="P146" s="5"/>
      <c r="Q146" s="4"/>
    </row>
    <row r="147" spans="1:17" ht="18" customHeight="1">
      <c r="A147" s="105" t="s">
        <v>214</v>
      </c>
      <c r="B147" s="106" t="s">
        <v>549</v>
      </c>
      <c r="C147" s="69"/>
      <c r="D147" s="68" t="s">
        <v>668</v>
      </c>
      <c r="E147" s="70">
        <v>6</v>
      </c>
      <c r="F147" s="54" t="s">
        <v>365</v>
      </c>
      <c r="G147" s="55" t="s">
        <v>227</v>
      </c>
      <c r="H147" s="108">
        <v>4180</v>
      </c>
      <c r="I147" s="55" t="s">
        <v>42</v>
      </c>
      <c r="J147" s="55">
        <v>1</v>
      </c>
      <c r="K147" s="55" t="s">
        <v>58</v>
      </c>
      <c r="L147" s="55" t="s">
        <v>128</v>
      </c>
      <c r="M147" s="55"/>
      <c r="N147" s="125">
        <v>38.8</v>
      </c>
      <c r="O147" s="125">
        <f>0.91*0.52*0.14</f>
        <v>0.066248</v>
      </c>
      <c r="P147" s="5"/>
      <c r="Q147" s="4"/>
    </row>
    <row r="148" spans="1:17" ht="18" customHeight="1">
      <c r="A148" s="105" t="s">
        <v>318</v>
      </c>
      <c r="B148" s="106" t="s">
        <v>549</v>
      </c>
      <c r="C148" s="69"/>
      <c r="D148" s="68" t="s">
        <v>668</v>
      </c>
      <c r="E148" s="70">
        <v>6</v>
      </c>
      <c r="F148" s="54" t="s">
        <v>377</v>
      </c>
      <c r="G148" s="55" t="s">
        <v>247</v>
      </c>
      <c r="H148" s="108">
        <v>4680</v>
      </c>
      <c r="I148" s="55" t="s">
        <v>42</v>
      </c>
      <c r="J148" s="55">
        <v>1</v>
      </c>
      <c r="K148" s="55" t="s">
        <v>320</v>
      </c>
      <c r="L148" s="55"/>
      <c r="M148" s="55"/>
      <c r="N148" s="125">
        <v>40.4</v>
      </c>
      <c r="O148" s="125"/>
      <c r="P148" s="5"/>
      <c r="Q148" s="4"/>
    </row>
    <row r="149" spans="1:17" ht="24" customHeight="1">
      <c r="A149" s="105" t="s">
        <v>319</v>
      </c>
      <c r="B149" s="106" t="s">
        <v>549</v>
      </c>
      <c r="C149" s="69"/>
      <c r="D149" s="68" t="s">
        <v>668</v>
      </c>
      <c r="E149" s="70">
        <v>6</v>
      </c>
      <c r="F149" s="54" t="s">
        <v>378</v>
      </c>
      <c r="G149" s="55" t="s">
        <v>227</v>
      </c>
      <c r="H149" s="108">
        <v>5350</v>
      </c>
      <c r="I149" s="55" t="s">
        <v>42</v>
      </c>
      <c r="J149" s="55">
        <v>1</v>
      </c>
      <c r="K149" s="55" t="s">
        <v>321</v>
      </c>
      <c r="L149" s="55"/>
      <c r="M149" s="55"/>
      <c r="N149" s="125">
        <v>48</v>
      </c>
      <c r="O149" s="125"/>
      <c r="P149" s="5"/>
      <c r="Q149" s="4"/>
    </row>
    <row r="150" spans="1:17" ht="18" customHeight="1">
      <c r="A150" s="105" t="s">
        <v>322</v>
      </c>
      <c r="B150" s="106" t="s">
        <v>549</v>
      </c>
      <c r="C150" s="69"/>
      <c r="D150" s="68" t="s">
        <v>668</v>
      </c>
      <c r="E150" s="70">
        <v>6</v>
      </c>
      <c r="F150" s="54" t="s">
        <v>379</v>
      </c>
      <c r="G150" s="55" t="s">
        <v>247</v>
      </c>
      <c r="H150" s="108">
        <v>2500</v>
      </c>
      <c r="I150" s="55" t="s">
        <v>42</v>
      </c>
      <c r="J150" s="55">
        <v>1</v>
      </c>
      <c r="K150" s="55" t="s">
        <v>323</v>
      </c>
      <c r="L150" s="55"/>
      <c r="M150" s="55"/>
      <c r="N150" s="125">
        <v>22</v>
      </c>
      <c r="O150" s="125"/>
      <c r="P150" s="5"/>
      <c r="Q150" s="4"/>
    </row>
    <row r="151" spans="1:17" ht="15" customHeight="1">
      <c r="A151" s="166" t="s">
        <v>607</v>
      </c>
      <c r="B151" s="167"/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8"/>
      <c r="P151" s="3"/>
      <c r="Q151" s="4"/>
    </row>
    <row r="152" spans="1:17" ht="25.5" customHeight="1">
      <c r="A152" s="105" t="s">
        <v>608</v>
      </c>
      <c r="B152" s="106" t="s">
        <v>550</v>
      </c>
      <c r="C152" s="69" t="s">
        <v>612</v>
      </c>
      <c r="D152" s="70" t="s">
        <v>671</v>
      </c>
      <c r="E152" s="70">
        <v>6</v>
      </c>
      <c r="F152" s="54" t="s">
        <v>609</v>
      </c>
      <c r="G152" s="55" t="s">
        <v>227</v>
      </c>
      <c r="H152" s="108">
        <v>3340</v>
      </c>
      <c r="I152" s="55" t="s">
        <v>42</v>
      </c>
      <c r="J152" s="55">
        <v>1</v>
      </c>
      <c r="K152" s="55" t="s">
        <v>13</v>
      </c>
      <c r="L152" s="55" t="s">
        <v>67</v>
      </c>
      <c r="M152" s="55"/>
      <c r="N152" s="125">
        <v>34</v>
      </c>
      <c r="O152" s="125">
        <f>1.93*0.4*0.09</f>
        <v>0.06948</v>
      </c>
      <c r="P152" s="5"/>
      <c r="Q152" s="4"/>
    </row>
    <row r="153" spans="1:17" ht="27" customHeight="1">
      <c r="A153" s="105" t="s">
        <v>454</v>
      </c>
      <c r="B153" s="106" t="s">
        <v>550</v>
      </c>
      <c r="C153" s="69" t="s">
        <v>612</v>
      </c>
      <c r="D153" s="70" t="s">
        <v>671</v>
      </c>
      <c r="E153" s="70">
        <v>6</v>
      </c>
      <c r="F153" s="54" t="s">
        <v>458</v>
      </c>
      <c r="G153" s="55" t="s">
        <v>247</v>
      </c>
      <c r="H153" s="108">
        <v>1420</v>
      </c>
      <c r="I153" s="55" t="s">
        <v>42</v>
      </c>
      <c r="J153" s="55">
        <v>1</v>
      </c>
      <c r="K153" s="55" t="s">
        <v>456</v>
      </c>
      <c r="L153" s="55" t="s">
        <v>467</v>
      </c>
      <c r="M153" s="55"/>
      <c r="N153" s="125">
        <v>13.5</v>
      </c>
      <c r="O153" s="125">
        <v>0.02</v>
      </c>
      <c r="P153" s="6"/>
      <c r="Q153" s="4"/>
    </row>
    <row r="154" spans="1:17" ht="27" customHeight="1">
      <c r="A154" s="105" t="s">
        <v>455</v>
      </c>
      <c r="B154" s="106" t="s">
        <v>550</v>
      </c>
      <c r="C154" s="69" t="s">
        <v>612</v>
      </c>
      <c r="D154" s="70" t="s">
        <v>671</v>
      </c>
      <c r="E154" s="70">
        <v>6</v>
      </c>
      <c r="F154" s="54" t="s">
        <v>458</v>
      </c>
      <c r="G154" s="55" t="s">
        <v>247</v>
      </c>
      <c r="H154" s="108">
        <v>2010</v>
      </c>
      <c r="I154" s="55" t="s">
        <v>42</v>
      </c>
      <c r="J154" s="55">
        <v>1</v>
      </c>
      <c r="K154" s="55" t="s">
        <v>457</v>
      </c>
      <c r="L154" s="55" t="s">
        <v>510</v>
      </c>
      <c r="M154" s="55"/>
      <c r="N154" s="125">
        <v>19.5</v>
      </c>
      <c r="O154" s="125">
        <v>0.03</v>
      </c>
      <c r="P154" s="6"/>
      <c r="Q154" s="4"/>
    </row>
    <row r="155" spans="1:17" ht="27" customHeight="1">
      <c r="A155" s="105" t="s">
        <v>599</v>
      </c>
      <c r="B155" s="106" t="s">
        <v>550</v>
      </c>
      <c r="C155" s="69" t="s">
        <v>612</v>
      </c>
      <c r="D155" s="70" t="s">
        <v>671</v>
      </c>
      <c r="E155" s="70">
        <v>6</v>
      </c>
      <c r="F155" s="54" t="s">
        <v>458</v>
      </c>
      <c r="G155" s="55" t="s">
        <v>247</v>
      </c>
      <c r="H155" s="108">
        <v>1780</v>
      </c>
      <c r="I155" s="55" t="s">
        <v>42</v>
      </c>
      <c r="J155" s="55">
        <v>1</v>
      </c>
      <c r="K155" s="55" t="s">
        <v>457</v>
      </c>
      <c r="L155" s="55" t="s">
        <v>510</v>
      </c>
      <c r="M155" s="55"/>
      <c r="N155" s="125">
        <v>19.5</v>
      </c>
      <c r="O155" s="125">
        <v>0.03</v>
      </c>
      <c r="P155" s="6"/>
      <c r="Q155" s="4"/>
    </row>
    <row r="156" spans="1:17" ht="27" customHeight="1">
      <c r="A156" s="105" t="s">
        <v>626</v>
      </c>
      <c r="B156" s="106" t="s">
        <v>550</v>
      </c>
      <c r="C156" s="69" t="s">
        <v>612</v>
      </c>
      <c r="D156" s="70" t="s">
        <v>671</v>
      </c>
      <c r="E156" s="70">
        <v>6</v>
      </c>
      <c r="F156" s="54" t="s">
        <v>458</v>
      </c>
      <c r="G156" s="55" t="s">
        <v>247</v>
      </c>
      <c r="H156" s="108">
        <v>1510</v>
      </c>
      <c r="I156" s="55" t="s">
        <v>42</v>
      </c>
      <c r="J156" s="55">
        <v>1</v>
      </c>
      <c r="K156" s="55" t="s">
        <v>627</v>
      </c>
      <c r="L156" s="55"/>
      <c r="M156" s="55"/>
      <c r="N156" s="125">
        <v>14.9</v>
      </c>
      <c r="O156" s="125"/>
      <c r="P156" s="6"/>
      <c r="Q156" s="4"/>
    </row>
    <row r="157" spans="1:17" ht="27" customHeight="1">
      <c r="A157" s="105" t="s">
        <v>590</v>
      </c>
      <c r="B157" s="106" t="s">
        <v>550</v>
      </c>
      <c r="C157" s="69" t="s">
        <v>612</v>
      </c>
      <c r="D157" s="70" t="s">
        <v>671</v>
      </c>
      <c r="E157" s="70">
        <v>6</v>
      </c>
      <c r="F157" s="54" t="s">
        <v>591</v>
      </c>
      <c r="G157" s="55" t="s">
        <v>247</v>
      </c>
      <c r="H157" s="108">
        <v>2170</v>
      </c>
      <c r="I157" s="55" t="s">
        <v>42</v>
      </c>
      <c r="J157" s="55">
        <v>1</v>
      </c>
      <c r="K157" s="55" t="s">
        <v>592</v>
      </c>
      <c r="L157" s="55"/>
      <c r="M157" s="55"/>
      <c r="N157" s="125">
        <v>20.2</v>
      </c>
      <c r="O157" s="125"/>
      <c r="P157" s="6"/>
      <c r="Q157" s="4"/>
    </row>
    <row r="158" spans="1:17" ht="27" customHeight="1">
      <c r="A158" s="105" t="s">
        <v>593</v>
      </c>
      <c r="B158" s="106" t="s">
        <v>550</v>
      </c>
      <c r="C158" s="69" t="s">
        <v>612</v>
      </c>
      <c r="D158" s="70" t="s">
        <v>671</v>
      </c>
      <c r="E158" s="70">
        <v>6</v>
      </c>
      <c r="F158" s="54" t="s">
        <v>594</v>
      </c>
      <c r="G158" s="55" t="s">
        <v>247</v>
      </c>
      <c r="H158" s="108">
        <v>1840</v>
      </c>
      <c r="I158" s="55" t="s">
        <v>42</v>
      </c>
      <c r="J158" s="55">
        <v>1</v>
      </c>
      <c r="K158" s="55" t="s">
        <v>595</v>
      </c>
      <c r="L158" s="55"/>
      <c r="M158" s="55"/>
      <c r="N158" s="125">
        <v>16.1</v>
      </c>
      <c r="O158" s="125"/>
      <c r="P158" s="6"/>
      <c r="Q158" s="4"/>
    </row>
    <row r="159" spans="1:17" ht="29.25" customHeight="1">
      <c r="A159" s="105" t="s">
        <v>596</v>
      </c>
      <c r="B159" s="106" t="s">
        <v>550</v>
      </c>
      <c r="C159" s="69" t="s">
        <v>612</v>
      </c>
      <c r="D159" s="70" t="s">
        <v>671</v>
      </c>
      <c r="E159" s="70">
        <v>6</v>
      </c>
      <c r="F159" s="54" t="s">
        <v>597</v>
      </c>
      <c r="G159" s="55" t="s">
        <v>247</v>
      </c>
      <c r="H159" s="108">
        <v>2590</v>
      </c>
      <c r="I159" s="55" t="s">
        <v>42</v>
      </c>
      <c r="J159" s="55">
        <v>1</v>
      </c>
      <c r="K159" s="55" t="s">
        <v>598</v>
      </c>
      <c r="L159" s="55"/>
      <c r="M159" s="55"/>
      <c r="N159" s="125">
        <v>23.76</v>
      </c>
      <c r="O159" s="125"/>
      <c r="P159" s="6"/>
      <c r="Q159" s="4"/>
    </row>
    <row r="160" spans="1:17" ht="29.25" customHeight="1">
      <c r="A160" s="105" t="s">
        <v>620</v>
      </c>
      <c r="B160" s="106" t="s">
        <v>550</v>
      </c>
      <c r="C160" s="69" t="s">
        <v>612</v>
      </c>
      <c r="D160" s="70" t="s">
        <v>671</v>
      </c>
      <c r="E160" s="70">
        <v>6</v>
      </c>
      <c r="F160" s="54" t="s">
        <v>624</v>
      </c>
      <c r="G160" s="55" t="s">
        <v>247</v>
      </c>
      <c r="H160" s="108">
        <v>2760</v>
      </c>
      <c r="I160" s="55" t="s">
        <v>42</v>
      </c>
      <c r="J160" s="55">
        <v>1</v>
      </c>
      <c r="K160" s="55" t="s">
        <v>621</v>
      </c>
      <c r="L160" s="55"/>
      <c r="M160" s="55"/>
      <c r="N160" s="125">
        <v>26.4</v>
      </c>
      <c r="O160" s="125"/>
      <c r="P160" s="6"/>
      <c r="Q160" s="4"/>
    </row>
    <row r="161" spans="1:17" ht="29.25" customHeight="1">
      <c r="A161" s="105" t="s">
        <v>622</v>
      </c>
      <c r="B161" s="106" t="s">
        <v>550</v>
      </c>
      <c r="C161" s="69" t="s">
        <v>612</v>
      </c>
      <c r="D161" s="70" t="s">
        <v>671</v>
      </c>
      <c r="E161" s="70">
        <v>6</v>
      </c>
      <c r="F161" s="54" t="s">
        <v>624</v>
      </c>
      <c r="G161" s="55" t="s">
        <v>247</v>
      </c>
      <c r="H161" s="108">
        <v>3080</v>
      </c>
      <c r="I161" s="55" t="s">
        <v>42</v>
      </c>
      <c r="J161" s="55">
        <v>1</v>
      </c>
      <c r="K161" s="55" t="s">
        <v>621</v>
      </c>
      <c r="L161" s="55"/>
      <c r="M161" s="55"/>
      <c r="N161" s="125">
        <v>29.5</v>
      </c>
      <c r="O161" s="125"/>
      <c r="P161" s="6"/>
      <c r="Q161" s="4"/>
    </row>
    <row r="162" spans="1:17" ht="29.25" customHeight="1">
      <c r="A162" s="105" t="s">
        <v>623</v>
      </c>
      <c r="B162" s="106" t="s">
        <v>550</v>
      </c>
      <c r="C162" s="69" t="s">
        <v>612</v>
      </c>
      <c r="D162" s="70" t="s">
        <v>671</v>
      </c>
      <c r="E162" s="70">
        <v>6</v>
      </c>
      <c r="F162" s="54" t="s">
        <v>625</v>
      </c>
      <c r="G162" s="55" t="s">
        <v>247</v>
      </c>
      <c r="H162" s="108">
        <v>3890</v>
      </c>
      <c r="I162" s="55" t="s">
        <v>42</v>
      </c>
      <c r="J162" s="55">
        <v>1</v>
      </c>
      <c r="K162" s="55" t="s">
        <v>621</v>
      </c>
      <c r="L162" s="55"/>
      <c r="M162" s="55"/>
      <c r="N162" s="125">
        <v>36</v>
      </c>
      <c r="O162" s="125"/>
      <c r="P162" s="6"/>
      <c r="Q162" s="4"/>
    </row>
    <row r="163" spans="1:17" ht="15" customHeight="1">
      <c r="A163" s="145" t="s">
        <v>561</v>
      </c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7"/>
      <c r="P163" s="14"/>
      <c r="Q163" s="8"/>
    </row>
    <row r="164" spans="1:17" ht="13.5" customHeight="1">
      <c r="A164" s="190" t="s">
        <v>9</v>
      </c>
      <c r="B164" s="151" t="s">
        <v>549</v>
      </c>
      <c r="C164" s="159"/>
      <c r="D164" s="155" t="s">
        <v>668</v>
      </c>
      <c r="E164" s="155">
        <v>30</v>
      </c>
      <c r="F164" s="153" t="s">
        <v>366</v>
      </c>
      <c r="G164" s="161" t="s">
        <v>227</v>
      </c>
      <c r="H164" s="151">
        <v>4870</v>
      </c>
      <c r="I164" s="161" t="s">
        <v>63</v>
      </c>
      <c r="J164" s="161">
        <v>3</v>
      </c>
      <c r="K164" s="161" t="s">
        <v>32</v>
      </c>
      <c r="L164" s="55" t="s">
        <v>540</v>
      </c>
      <c r="M164" s="55" t="s">
        <v>281</v>
      </c>
      <c r="N164" s="171">
        <v>38.5</v>
      </c>
      <c r="O164" s="171">
        <f>(0.85*0.65*0.07)+(2*0.21*0.05)+(2*0.8*0.025)</f>
        <v>0.09967500000000001</v>
      </c>
      <c r="P164" s="5"/>
      <c r="Q164" s="4"/>
    </row>
    <row r="165" spans="1:17" ht="10.5" customHeight="1">
      <c r="A165" s="191"/>
      <c r="B165" s="152"/>
      <c r="C165" s="160"/>
      <c r="D165" s="156"/>
      <c r="E165" s="156"/>
      <c r="F165" s="154"/>
      <c r="G165" s="162"/>
      <c r="H165" s="163"/>
      <c r="I165" s="162"/>
      <c r="J165" s="162"/>
      <c r="K165" s="162"/>
      <c r="L165" s="55" t="s">
        <v>541</v>
      </c>
      <c r="M165" s="55"/>
      <c r="N165" s="172"/>
      <c r="O165" s="172"/>
      <c r="P165" s="7"/>
      <c r="Q165" s="15"/>
    </row>
    <row r="166" spans="1:17" ht="13.5" customHeight="1">
      <c r="A166" s="190" t="s">
        <v>501</v>
      </c>
      <c r="B166" s="151" t="s">
        <v>549</v>
      </c>
      <c r="C166" s="159"/>
      <c r="D166" s="155" t="s">
        <v>549</v>
      </c>
      <c r="E166" s="155">
        <v>30</v>
      </c>
      <c r="F166" s="153" t="s">
        <v>366</v>
      </c>
      <c r="G166" s="161" t="s">
        <v>227</v>
      </c>
      <c r="H166" s="151">
        <v>3000</v>
      </c>
      <c r="I166" s="161" t="s">
        <v>63</v>
      </c>
      <c r="J166" s="161">
        <v>1</v>
      </c>
      <c r="K166" s="161" t="s">
        <v>503</v>
      </c>
      <c r="L166" s="55"/>
      <c r="M166" s="55"/>
      <c r="N166" s="171">
        <v>13.6</v>
      </c>
      <c r="O166" s="171"/>
      <c r="P166" s="6"/>
      <c r="Q166" s="4"/>
    </row>
    <row r="167" spans="1:17" ht="10.5" customHeight="1">
      <c r="A167" s="191"/>
      <c r="B167" s="152"/>
      <c r="C167" s="160"/>
      <c r="D167" s="156"/>
      <c r="E167" s="156"/>
      <c r="F167" s="154"/>
      <c r="G167" s="162"/>
      <c r="H167" s="163"/>
      <c r="I167" s="162"/>
      <c r="J167" s="162"/>
      <c r="K167" s="162"/>
      <c r="L167" s="55"/>
      <c r="M167" s="55"/>
      <c r="N167" s="172"/>
      <c r="O167" s="172"/>
      <c r="P167" s="7"/>
      <c r="Q167" s="15"/>
    </row>
    <row r="168" spans="1:17" ht="24" customHeight="1">
      <c r="A168" s="105" t="s">
        <v>216</v>
      </c>
      <c r="B168" s="53" t="s">
        <v>549</v>
      </c>
      <c r="C168" s="69"/>
      <c r="D168" s="68" t="s">
        <v>549</v>
      </c>
      <c r="E168" s="70"/>
      <c r="F168" s="54" t="s">
        <v>215</v>
      </c>
      <c r="G168" s="55" t="s">
        <v>227</v>
      </c>
      <c r="H168" s="112"/>
      <c r="I168" s="55" t="s">
        <v>62</v>
      </c>
      <c r="J168" s="55">
        <v>1</v>
      </c>
      <c r="K168" s="55" t="s">
        <v>129</v>
      </c>
      <c r="L168" s="55" t="s">
        <v>150</v>
      </c>
      <c r="M168" s="55"/>
      <c r="N168" s="125">
        <v>11.5</v>
      </c>
      <c r="O168" s="125">
        <f>0.15*2*0.8</f>
        <v>0.24</v>
      </c>
      <c r="P168" s="5"/>
      <c r="Q168" s="15"/>
    </row>
    <row r="169" spans="1:17" ht="15" customHeight="1">
      <c r="A169" s="145" t="s">
        <v>628</v>
      </c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7"/>
      <c r="P169" s="14"/>
      <c r="Q169" s="8"/>
    </row>
    <row r="170" spans="1:17" ht="24" customHeight="1">
      <c r="A170" s="103" t="s">
        <v>629</v>
      </c>
      <c r="B170" s="104" t="s">
        <v>550</v>
      </c>
      <c r="C170" s="69" t="s">
        <v>670</v>
      </c>
      <c r="D170" s="68" t="s">
        <v>615</v>
      </c>
      <c r="E170" s="68">
        <v>50</v>
      </c>
      <c r="F170" s="54" t="s">
        <v>630</v>
      </c>
      <c r="G170" s="55" t="s">
        <v>227</v>
      </c>
      <c r="H170" s="108">
        <v>350</v>
      </c>
      <c r="I170" s="55" t="s">
        <v>42</v>
      </c>
      <c r="J170" s="55">
        <v>1</v>
      </c>
      <c r="K170" s="55" t="s">
        <v>631</v>
      </c>
      <c r="L170" s="55"/>
      <c r="M170" s="55"/>
      <c r="N170" s="125">
        <v>4.1</v>
      </c>
      <c r="O170" s="125"/>
      <c r="P170" s="5"/>
      <c r="Q170" s="15"/>
    </row>
    <row r="171" spans="1:17" ht="24" customHeight="1">
      <c r="A171" s="103" t="s">
        <v>655</v>
      </c>
      <c r="B171" s="104" t="s">
        <v>550</v>
      </c>
      <c r="C171" s="69" t="s">
        <v>671</v>
      </c>
      <c r="D171" s="68" t="s">
        <v>612</v>
      </c>
      <c r="E171" s="68">
        <v>50</v>
      </c>
      <c r="F171" s="54" t="s">
        <v>656</v>
      </c>
      <c r="G171" s="55" t="s">
        <v>227</v>
      </c>
      <c r="H171" s="108">
        <v>480</v>
      </c>
      <c r="I171" s="55" t="s">
        <v>42</v>
      </c>
      <c r="J171" s="55">
        <v>1</v>
      </c>
      <c r="K171" s="55" t="s">
        <v>657</v>
      </c>
      <c r="L171" s="55"/>
      <c r="M171" s="55"/>
      <c r="N171" s="125">
        <v>4.45</v>
      </c>
      <c r="O171" s="125"/>
      <c r="P171" s="5"/>
      <c r="Q171" s="15"/>
    </row>
    <row r="172" spans="1:17" ht="15" customHeight="1">
      <c r="A172" s="145" t="s">
        <v>562</v>
      </c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7"/>
      <c r="P172" s="5"/>
      <c r="Q172" s="15"/>
    </row>
    <row r="173" spans="1:17" ht="24" customHeight="1">
      <c r="A173" s="103" t="s">
        <v>10</v>
      </c>
      <c r="B173" s="104" t="s">
        <v>549</v>
      </c>
      <c r="C173" s="69"/>
      <c r="D173" s="68" t="s">
        <v>668</v>
      </c>
      <c r="E173" s="68">
        <v>50</v>
      </c>
      <c r="F173" s="54" t="s">
        <v>238</v>
      </c>
      <c r="G173" s="55" t="s">
        <v>227</v>
      </c>
      <c r="H173" s="108">
        <v>1650</v>
      </c>
      <c r="I173" s="55" t="s">
        <v>63</v>
      </c>
      <c r="J173" s="55">
        <v>2</v>
      </c>
      <c r="K173" s="55" t="s">
        <v>59</v>
      </c>
      <c r="L173" s="55" t="s">
        <v>139</v>
      </c>
      <c r="M173" s="55" t="s">
        <v>147</v>
      </c>
      <c r="N173" s="125">
        <v>5</v>
      </c>
      <c r="O173" s="125">
        <f>(0.46*0.31*0.18)+(1.49*0.025*0.025)</f>
        <v>0.02659925</v>
      </c>
      <c r="P173" s="5"/>
      <c r="Q173" s="15"/>
    </row>
    <row r="174" spans="1:17" ht="24" customHeight="1">
      <c r="A174" s="103" t="s">
        <v>11</v>
      </c>
      <c r="B174" s="104" t="s">
        <v>549</v>
      </c>
      <c r="C174" s="69" t="s">
        <v>614</v>
      </c>
      <c r="D174" s="68" t="s">
        <v>669</v>
      </c>
      <c r="E174" s="68">
        <v>6</v>
      </c>
      <c r="F174" s="54" t="s">
        <v>367</v>
      </c>
      <c r="G174" s="55" t="s">
        <v>227</v>
      </c>
      <c r="H174" s="108">
        <v>2090</v>
      </c>
      <c r="I174" s="55" t="s">
        <v>42</v>
      </c>
      <c r="J174" s="55">
        <v>1</v>
      </c>
      <c r="K174" s="55" t="s">
        <v>152</v>
      </c>
      <c r="L174" s="55" t="s">
        <v>151</v>
      </c>
      <c r="M174" s="55"/>
      <c r="N174" s="125">
        <v>10.5</v>
      </c>
      <c r="O174" s="125">
        <f>1.44*0.26*0.06</f>
        <v>0.022464</v>
      </c>
      <c r="P174" s="5"/>
      <c r="Q174" s="15"/>
    </row>
    <row r="175" spans="1:17" ht="24" customHeight="1">
      <c r="A175" s="105" t="s">
        <v>217</v>
      </c>
      <c r="B175" s="104" t="s">
        <v>549</v>
      </c>
      <c r="C175" s="69" t="s">
        <v>614</v>
      </c>
      <c r="D175" s="68" t="s">
        <v>669</v>
      </c>
      <c r="E175" s="70">
        <v>30</v>
      </c>
      <c r="F175" s="54" t="s">
        <v>239</v>
      </c>
      <c r="G175" s="55" t="s">
        <v>227</v>
      </c>
      <c r="H175" s="108">
        <v>4430</v>
      </c>
      <c r="I175" s="55" t="s">
        <v>63</v>
      </c>
      <c r="J175" s="55">
        <v>2</v>
      </c>
      <c r="K175" s="55" t="s">
        <v>368</v>
      </c>
      <c r="L175" s="55" t="s">
        <v>133</v>
      </c>
      <c r="M175" s="55" t="s">
        <v>134</v>
      </c>
      <c r="N175" s="125">
        <v>22</v>
      </c>
      <c r="O175" s="125">
        <f>(1.09*0.615*0.04)+(1.41*0.15*0.08)</f>
        <v>0.043734</v>
      </c>
      <c r="P175" s="7"/>
      <c r="Q175" s="15"/>
    </row>
    <row r="176" spans="1:15" ht="15" customHeight="1">
      <c r="A176" s="145" t="s">
        <v>563</v>
      </c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7"/>
    </row>
    <row r="177" spans="1:16" ht="24" customHeight="1">
      <c r="A177" s="103" t="s">
        <v>324</v>
      </c>
      <c r="B177" s="104" t="s">
        <v>549</v>
      </c>
      <c r="C177" s="69"/>
      <c r="D177" s="68" t="s">
        <v>613</v>
      </c>
      <c r="E177" s="68">
        <v>30</v>
      </c>
      <c r="F177" s="54" t="s">
        <v>285</v>
      </c>
      <c r="G177" s="55" t="s">
        <v>227</v>
      </c>
      <c r="H177" s="108">
        <v>1700</v>
      </c>
      <c r="I177" s="55" t="s">
        <v>42</v>
      </c>
      <c r="J177" s="55">
        <v>1</v>
      </c>
      <c r="K177" s="55" t="s">
        <v>282</v>
      </c>
      <c r="L177" s="55" t="s">
        <v>393</v>
      </c>
      <c r="M177" s="55"/>
      <c r="N177" s="125">
        <v>9.5</v>
      </c>
      <c r="O177" s="125">
        <v>0.03</v>
      </c>
      <c r="P177" s="6"/>
    </row>
    <row r="178" spans="1:16" ht="27" customHeight="1">
      <c r="A178" s="103" t="s">
        <v>673</v>
      </c>
      <c r="B178" s="104" t="s">
        <v>550</v>
      </c>
      <c r="C178" s="69" t="s">
        <v>611</v>
      </c>
      <c r="D178" s="68" t="s">
        <v>615</v>
      </c>
      <c r="E178" s="68">
        <v>30</v>
      </c>
      <c r="F178" s="54" t="s">
        <v>492</v>
      </c>
      <c r="G178" s="55" t="s">
        <v>227</v>
      </c>
      <c r="H178" s="108">
        <v>1700</v>
      </c>
      <c r="I178" s="55" t="s">
        <v>42</v>
      </c>
      <c r="J178" s="55">
        <v>1</v>
      </c>
      <c r="K178" s="55" t="s">
        <v>494</v>
      </c>
      <c r="L178" s="55" t="s">
        <v>135</v>
      </c>
      <c r="M178" s="55"/>
      <c r="N178" s="125">
        <v>9</v>
      </c>
      <c r="O178" s="125">
        <f>0.61*0.51*0.085</f>
        <v>0.0264435</v>
      </c>
      <c r="P178" s="6"/>
    </row>
    <row r="179" spans="1:16" ht="27" customHeight="1">
      <c r="A179" s="103" t="s">
        <v>325</v>
      </c>
      <c r="B179" s="104" t="s">
        <v>549</v>
      </c>
      <c r="C179" s="69"/>
      <c r="D179" s="68" t="s">
        <v>613</v>
      </c>
      <c r="E179" s="68">
        <v>30</v>
      </c>
      <c r="F179" s="54" t="s">
        <v>284</v>
      </c>
      <c r="G179" s="55" t="s">
        <v>227</v>
      </c>
      <c r="H179" s="108">
        <v>1700</v>
      </c>
      <c r="I179" s="55" t="s">
        <v>42</v>
      </c>
      <c r="J179" s="55">
        <v>1</v>
      </c>
      <c r="K179" s="55" t="s">
        <v>33</v>
      </c>
      <c r="L179" s="55" t="s">
        <v>135</v>
      </c>
      <c r="M179" s="55"/>
      <c r="N179" s="125">
        <v>11</v>
      </c>
      <c r="O179" s="125">
        <f>0.61*0.51*0.085</f>
        <v>0.0264435</v>
      </c>
      <c r="P179" s="6"/>
    </row>
    <row r="180" spans="1:16" ht="27" customHeight="1">
      <c r="A180" s="103" t="s">
        <v>677</v>
      </c>
      <c r="B180" s="104" t="s">
        <v>550</v>
      </c>
      <c r="C180" s="69" t="s">
        <v>615</v>
      </c>
      <c r="D180" s="68" t="s">
        <v>611</v>
      </c>
      <c r="E180" s="68">
        <v>30</v>
      </c>
      <c r="F180" s="54" t="s">
        <v>490</v>
      </c>
      <c r="G180" s="55" t="s">
        <v>227</v>
      </c>
      <c r="H180" s="108">
        <v>2010</v>
      </c>
      <c r="I180" s="55" t="s">
        <v>42</v>
      </c>
      <c r="J180" s="55">
        <v>1</v>
      </c>
      <c r="K180" s="55" t="s">
        <v>494</v>
      </c>
      <c r="L180" s="55" t="s">
        <v>135</v>
      </c>
      <c r="M180" s="55"/>
      <c r="N180" s="125">
        <v>9.8</v>
      </c>
      <c r="O180" s="125">
        <f>0.61*0.51*0.085</f>
        <v>0.0264435</v>
      </c>
      <c r="P180" s="6"/>
    </row>
    <row r="181" spans="1:16" ht="27" customHeight="1">
      <c r="A181" s="103" t="s">
        <v>674</v>
      </c>
      <c r="B181" s="104" t="s">
        <v>550</v>
      </c>
      <c r="C181" s="69" t="s">
        <v>615</v>
      </c>
      <c r="D181" s="68" t="s">
        <v>611</v>
      </c>
      <c r="E181" s="68">
        <v>30</v>
      </c>
      <c r="F181" s="54" t="s">
        <v>490</v>
      </c>
      <c r="G181" s="55" t="s">
        <v>227</v>
      </c>
      <c r="H181" s="108">
        <v>2010</v>
      </c>
      <c r="I181" s="55" t="s">
        <v>42</v>
      </c>
      <c r="J181" s="55">
        <v>1</v>
      </c>
      <c r="K181" s="55" t="s">
        <v>494</v>
      </c>
      <c r="L181" s="55" t="s">
        <v>135</v>
      </c>
      <c r="M181" s="55"/>
      <c r="N181" s="125">
        <v>9.8</v>
      </c>
      <c r="O181" s="125">
        <f>0.61*0.51*0.085</f>
        <v>0.0264435</v>
      </c>
      <c r="P181" s="6"/>
    </row>
    <row r="182" spans="1:16" ht="27" customHeight="1">
      <c r="A182" s="103" t="s">
        <v>487</v>
      </c>
      <c r="B182" s="104" t="s">
        <v>549</v>
      </c>
      <c r="C182" s="69"/>
      <c r="D182" s="68" t="s">
        <v>613</v>
      </c>
      <c r="E182" s="68">
        <v>30</v>
      </c>
      <c r="F182" s="54" t="s">
        <v>284</v>
      </c>
      <c r="G182" s="55" t="s">
        <v>227</v>
      </c>
      <c r="H182" s="108">
        <v>2010</v>
      </c>
      <c r="I182" s="55" t="s">
        <v>42</v>
      </c>
      <c r="J182" s="55">
        <v>1</v>
      </c>
      <c r="K182" s="55" t="s">
        <v>33</v>
      </c>
      <c r="L182" s="55" t="s">
        <v>135</v>
      </c>
      <c r="M182" s="55"/>
      <c r="N182" s="125">
        <v>11.76</v>
      </c>
      <c r="O182" s="125">
        <f>0.61*0.51*0.085</f>
        <v>0.0264435</v>
      </c>
      <c r="P182" s="6"/>
    </row>
    <row r="183" spans="1:15" ht="29.25" customHeight="1">
      <c r="A183" s="105" t="s">
        <v>218</v>
      </c>
      <c r="B183" s="104" t="s">
        <v>550</v>
      </c>
      <c r="C183" s="69" t="s">
        <v>611</v>
      </c>
      <c r="D183" s="70" t="s">
        <v>615</v>
      </c>
      <c r="E183" s="70">
        <v>30</v>
      </c>
      <c r="F183" s="54" t="s">
        <v>369</v>
      </c>
      <c r="G183" s="55" t="s">
        <v>227</v>
      </c>
      <c r="H183" s="108">
        <v>2010</v>
      </c>
      <c r="I183" s="55" t="s">
        <v>42</v>
      </c>
      <c r="J183" s="55">
        <v>1</v>
      </c>
      <c r="K183" s="55" t="s">
        <v>34</v>
      </c>
      <c r="L183" s="55" t="s">
        <v>136</v>
      </c>
      <c r="M183" s="55"/>
      <c r="N183" s="125">
        <v>14</v>
      </c>
      <c r="O183" s="125">
        <f>1.21*0.51*0.09</f>
        <v>0.055539</v>
      </c>
    </row>
    <row r="184" spans="1:15" ht="24.75" customHeight="1">
      <c r="A184" s="105" t="s">
        <v>219</v>
      </c>
      <c r="B184" s="104" t="s">
        <v>549</v>
      </c>
      <c r="C184" s="69"/>
      <c r="D184" s="68" t="s">
        <v>613</v>
      </c>
      <c r="E184" s="70">
        <v>30</v>
      </c>
      <c r="F184" s="54" t="s">
        <v>370</v>
      </c>
      <c r="G184" s="55" t="s">
        <v>227</v>
      </c>
      <c r="H184" s="108">
        <v>1700</v>
      </c>
      <c r="I184" s="55" t="s">
        <v>42</v>
      </c>
      <c r="J184" s="55">
        <v>1</v>
      </c>
      <c r="K184" s="55" t="s">
        <v>35</v>
      </c>
      <c r="L184" s="55" t="s">
        <v>137</v>
      </c>
      <c r="M184" s="55"/>
      <c r="N184" s="125">
        <v>9</v>
      </c>
      <c r="O184" s="125">
        <f>0.74*0.51*0.095</f>
        <v>0.035853</v>
      </c>
    </row>
    <row r="185" spans="1:15" ht="25.5" customHeight="1">
      <c r="A185" s="103" t="s">
        <v>326</v>
      </c>
      <c r="B185" s="104" t="s">
        <v>550</v>
      </c>
      <c r="C185" s="69" t="s">
        <v>611</v>
      </c>
      <c r="D185" s="68" t="s">
        <v>615</v>
      </c>
      <c r="E185" s="68">
        <v>30</v>
      </c>
      <c r="F185" s="54" t="s">
        <v>286</v>
      </c>
      <c r="G185" s="55" t="s">
        <v>227</v>
      </c>
      <c r="H185" s="108">
        <v>2320</v>
      </c>
      <c r="I185" s="55" t="s">
        <v>42</v>
      </c>
      <c r="J185" s="55">
        <v>1</v>
      </c>
      <c r="K185" s="55" t="s">
        <v>283</v>
      </c>
      <c r="L185" s="55" t="s">
        <v>394</v>
      </c>
      <c r="M185" s="55"/>
      <c r="N185" s="125">
        <v>14.5</v>
      </c>
      <c r="O185" s="125">
        <v>0.06</v>
      </c>
    </row>
    <row r="186" spans="1:16" ht="25.5" customHeight="1">
      <c r="A186" s="103" t="s">
        <v>675</v>
      </c>
      <c r="B186" s="104" t="s">
        <v>549</v>
      </c>
      <c r="C186" s="69"/>
      <c r="D186" s="68" t="s">
        <v>613</v>
      </c>
      <c r="E186" s="68">
        <v>30</v>
      </c>
      <c r="F186" s="54" t="s">
        <v>493</v>
      </c>
      <c r="G186" s="55" t="s">
        <v>227</v>
      </c>
      <c r="H186" s="108">
        <v>2320</v>
      </c>
      <c r="I186" s="55" t="s">
        <v>42</v>
      </c>
      <c r="J186" s="55">
        <v>1</v>
      </c>
      <c r="K186" s="55" t="s">
        <v>495</v>
      </c>
      <c r="L186" s="55" t="s">
        <v>136</v>
      </c>
      <c r="M186" s="55"/>
      <c r="N186" s="125">
        <v>13.9</v>
      </c>
      <c r="O186" s="125">
        <f>1.21*0.51*0.09</f>
        <v>0.055539</v>
      </c>
      <c r="P186" s="6"/>
    </row>
    <row r="187" spans="1:16" ht="25.5" customHeight="1">
      <c r="A187" s="103" t="s">
        <v>380</v>
      </c>
      <c r="B187" s="104" t="s">
        <v>550</v>
      </c>
      <c r="C187" s="69" t="s">
        <v>611</v>
      </c>
      <c r="D187" s="68" t="s">
        <v>615</v>
      </c>
      <c r="E187" s="68">
        <v>30</v>
      </c>
      <c r="F187" s="54" t="s">
        <v>372</v>
      </c>
      <c r="G187" s="55" t="s">
        <v>227</v>
      </c>
      <c r="H187" s="108">
        <v>2320</v>
      </c>
      <c r="I187" s="55" t="s">
        <v>42</v>
      </c>
      <c r="J187" s="55">
        <v>1</v>
      </c>
      <c r="K187" s="55" t="s">
        <v>36</v>
      </c>
      <c r="L187" s="55" t="s">
        <v>136</v>
      </c>
      <c r="M187" s="55"/>
      <c r="N187" s="125">
        <v>15</v>
      </c>
      <c r="O187" s="125">
        <f>1.21*0.51*0.09</f>
        <v>0.055539</v>
      </c>
      <c r="P187" s="6"/>
    </row>
    <row r="188" spans="1:16" ht="25.5" customHeight="1">
      <c r="A188" s="103" t="s">
        <v>488</v>
      </c>
      <c r="B188" s="104" t="s">
        <v>550</v>
      </c>
      <c r="C188" s="69" t="s">
        <v>611</v>
      </c>
      <c r="D188" s="68" t="s">
        <v>615</v>
      </c>
      <c r="E188" s="68">
        <v>30</v>
      </c>
      <c r="F188" s="54" t="s">
        <v>286</v>
      </c>
      <c r="G188" s="55" t="s">
        <v>227</v>
      </c>
      <c r="H188" s="108">
        <v>2660</v>
      </c>
      <c r="I188" s="55" t="s">
        <v>42</v>
      </c>
      <c r="J188" s="55">
        <v>1</v>
      </c>
      <c r="K188" s="55" t="s">
        <v>283</v>
      </c>
      <c r="L188" s="55" t="s">
        <v>489</v>
      </c>
      <c r="M188" s="55"/>
      <c r="N188" s="125">
        <v>15.6</v>
      </c>
      <c r="O188" s="125">
        <f>1.21*0.51*0.09</f>
        <v>0.055539</v>
      </c>
      <c r="P188" s="6"/>
    </row>
    <row r="189" spans="1:16" ht="25.5" customHeight="1">
      <c r="A189" s="103" t="s">
        <v>676</v>
      </c>
      <c r="B189" s="62" t="s">
        <v>550</v>
      </c>
      <c r="C189" s="69" t="s">
        <v>615</v>
      </c>
      <c r="D189" s="68" t="s">
        <v>611</v>
      </c>
      <c r="E189" s="68">
        <v>30</v>
      </c>
      <c r="F189" s="54" t="s">
        <v>491</v>
      </c>
      <c r="G189" s="55" t="s">
        <v>227</v>
      </c>
      <c r="H189" s="108">
        <v>2660</v>
      </c>
      <c r="I189" s="55" t="s">
        <v>42</v>
      </c>
      <c r="J189" s="55">
        <v>1</v>
      </c>
      <c r="K189" s="55" t="s">
        <v>495</v>
      </c>
      <c r="L189" s="55" t="s">
        <v>489</v>
      </c>
      <c r="M189" s="55"/>
      <c r="N189" s="125">
        <v>15</v>
      </c>
      <c r="O189" s="125">
        <f>1.21*0.51*0.09</f>
        <v>0.055539</v>
      </c>
      <c r="P189" s="6"/>
    </row>
    <row r="190" spans="1:16" ht="25.5" customHeight="1">
      <c r="A190" s="103" t="s">
        <v>486</v>
      </c>
      <c r="B190" s="104" t="s">
        <v>549</v>
      </c>
      <c r="C190" s="69"/>
      <c r="D190" s="68" t="s">
        <v>613</v>
      </c>
      <c r="E190" s="68">
        <v>30</v>
      </c>
      <c r="F190" s="54" t="s">
        <v>372</v>
      </c>
      <c r="G190" s="55" t="s">
        <v>227</v>
      </c>
      <c r="H190" s="108">
        <v>2660</v>
      </c>
      <c r="I190" s="55" t="s">
        <v>42</v>
      </c>
      <c r="J190" s="55">
        <v>1</v>
      </c>
      <c r="K190" s="55" t="s">
        <v>36</v>
      </c>
      <c r="L190" s="55" t="s">
        <v>136</v>
      </c>
      <c r="M190" s="55"/>
      <c r="N190" s="125">
        <v>16.1</v>
      </c>
      <c r="O190" s="125">
        <f>1.21*0.51*0.09</f>
        <v>0.055539</v>
      </c>
      <c r="P190" s="6"/>
    </row>
    <row r="191" spans="1:16" ht="28.5" customHeight="1">
      <c r="A191" s="105" t="s">
        <v>383</v>
      </c>
      <c r="B191" s="106" t="s">
        <v>549</v>
      </c>
      <c r="C191" s="69"/>
      <c r="D191" s="68" t="s">
        <v>613</v>
      </c>
      <c r="E191" s="70">
        <v>30</v>
      </c>
      <c r="F191" s="54" t="s">
        <v>507</v>
      </c>
      <c r="G191" s="55" t="s">
        <v>227</v>
      </c>
      <c r="H191" s="108">
        <v>2320</v>
      </c>
      <c r="I191" s="55" t="s">
        <v>61</v>
      </c>
      <c r="J191" s="55">
        <v>1</v>
      </c>
      <c r="K191" s="55" t="s">
        <v>33</v>
      </c>
      <c r="L191" s="55" t="s">
        <v>138</v>
      </c>
      <c r="M191" s="55"/>
      <c r="N191" s="125">
        <v>10.2</v>
      </c>
      <c r="O191" s="125">
        <f>0.64*0.6*0.5</f>
        <v>0.192</v>
      </c>
      <c r="P191" s="6"/>
    </row>
    <row r="192" spans="1:16" ht="27.75" customHeight="1">
      <c r="A192" s="103" t="s">
        <v>381</v>
      </c>
      <c r="B192" s="62" t="s">
        <v>550</v>
      </c>
      <c r="C192" s="69" t="s">
        <v>550</v>
      </c>
      <c r="D192" s="68"/>
      <c r="E192" s="68"/>
      <c r="F192" s="54" t="s">
        <v>287</v>
      </c>
      <c r="G192" s="55" t="s">
        <v>227</v>
      </c>
      <c r="H192" s="108">
        <v>1320</v>
      </c>
      <c r="I192" s="55" t="s">
        <v>42</v>
      </c>
      <c r="J192" s="55">
        <v>1</v>
      </c>
      <c r="K192" s="55" t="s">
        <v>373</v>
      </c>
      <c r="L192" s="55" t="s">
        <v>392</v>
      </c>
      <c r="M192" s="55"/>
      <c r="N192" s="125">
        <v>4.6</v>
      </c>
      <c r="O192" s="125">
        <v>0.02</v>
      </c>
      <c r="P192" s="6"/>
    </row>
    <row r="193" spans="1:16" ht="27" customHeight="1">
      <c r="A193" s="103" t="s">
        <v>382</v>
      </c>
      <c r="B193" s="62" t="s">
        <v>550</v>
      </c>
      <c r="C193" s="69" t="s">
        <v>550</v>
      </c>
      <c r="D193" s="68"/>
      <c r="E193" s="68"/>
      <c r="F193" s="54" t="s">
        <v>423</v>
      </c>
      <c r="G193" s="55" t="s">
        <v>227</v>
      </c>
      <c r="H193" s="108">
        <v>1470</v>
      </c>
      <c r="I193" s="55" t="s">
        <v>42</v>
      </c>
      <c r="J193" s="56">
        <v>1</v>
      </c>
      <c r="K193" s="55" t="s">
        <v>242</v>
      </c>
      <c r="L193" s="55" t="s">
        <v>392</v>
      </c>
      <c r="M193" s="55"/>
      <c r="N193" s="125">
        <v>5.5</v>
      </c>
      <c r="O193" s="125">
        <v>0.02</v>
      </c>
      <c r="P193" s="17"/>
    </row>
    <row r="194" spans="1:16" ht="27" customHeight="1">
      <c r="A194" s="103" t="s">
        <v>498</v>
      </c>
      <c r="B194" s="62" t="s">
        <v>550</v>
      </c>
      <c r="C194" s="69" t="s">
        <v>550</v>
      </c>
      <c r="D194" s="68"/>
      <c r="E194" s="68"/>
      <c r="F194" s="54" t="s">
        <v>500</v>
      </c>
      <c r="G194" s="55" t="s">
        <v>227</v>
      </c>
      <c r="H194" s="108">
        <v>1470</v>
      </c>
      <c r="I194" s="55" t="s">
        <v>42</v>
      </c>
      <c r="J194" s="56">
        <v>1</v>
      </c>
      <c r="K194" s="55" t="s">
        <v>499</v>
      </c>
      <c r="L194" s="55" t="s">
        <v>392</v>
      </c>
      <c r="M194" s="55"/>
      <c r="N194" s="125">
        <v>6.1</v>
      </c>
      <c r="O194" s="125">
        <v>0.02</v>
      </c>
      <c r="P194" s="11"/>
    </row>
    <row r="195" spans="1:16" ht="24.75" customHeight="1">
      <c r="A195" s="105" t="s">
        <v>243</v>
      </c>
      <c r="B195" s="62" t="s">
        <v>550</v>
      </c>
      <c r="C195" s="69" t="s">
        <v>550</v>
      </c>
      <c r="D195" s="70"/>
      <c r="E195" s="70"/>
      <c r="F195" s="54" t="s">
        <v>371</v>
      </c>
      <c r="G195" s="55" t="s">
        <v>227</v>
      </c>
      <c r="H195" s="108">
        <v>1470</v>
      </c>
      <c r="I195" s="55" t="s">
        <v>42</v>
      </c>
      <c r="J195" s="56">
        <v>1</v>
      </c>
      <c r="K195" s="55" t="s">
        <v>374</v>
      </c>
      <c r="L195" s="56" t="s">
        <v>244</v>
      </c>
      <c r="M195" s="60"/>
      <c r="N195" s="125">
        <v>5.6</v>
      </c>
      <c r="O195" s="125">
        <f>0.49*0.08*0.75</f>
        <v>0.0294</v>
      </c>
      <c r="P195" s="6"/>
    </row>
    <row r="196" spans="1:16" ht="25.5" customHeight="1">
      <c r="A196" s="105" t="s">
        <v>571</v>
      </c>
      <c r="B196" s="62" t="s">
        <v>549</v>
      </c>
      <c r="D196" s="68" t="s">
        <v>549</v>
      </c>
      <c r="E196" s="70">
        <v>30</v>
      </c>
      <c r="F196" s="54" t="s">
        <v>430</v>
      </c>
      <c r="G196" s="55" t="s">
        <v>227</v>
      </c>
      <c r="H196" s="108">
        <v>2320</v>
      </c>
      <c r="I196" s="55" t="s">
        <v>61</v>
      </c>
      <c r="J196" s="56">
        <v>1</v>
      </c>
      <c r="K196" s="55" t="s">
        <v>424</v>
      </c>
      <c r="L196" s="56" t="s">
        <v>520</v>
      </c>
      <c r="M196" s="60"/>
      <c r="N196" s="125">
        <v>7.8</v>
      </c>
      <c r="O196" s="125">
        <v>0.08</v>
      </c>
      <c r="P196" s="10"/>
    </row>
    <row r="197" spans="1:15" ht="12.75" customHeight="1">
      <c r="A197" s="192" t="s">
        <v>678</v>
      </c>
      <c r="B197" s="193"/>
      <c r="C197" s="194"/>
      <c r="D197" s="194"/>
      <c r="E197" s="194"/>
      <c r="F197" s="194"/>
      <c r="G197" s="194"/>
      <c r="H197" s="194"/>
      <c r="I197" s="194"/>
      <c r="J197" s="194"/>
      <c r="K197" s="194"/>
      <c r="L197" s="194"/>
      <c r="M197" s="194"/>
      <c r="N197" s="194"/>
      <c r="O197" s="195"/>
    </row>
    <row r="198" spans="1:15" ht="28.5" customHeight="1">
      <c r="A198" s="201" t="s">
        <v>648</v>
      </c>
      <c r="B198" s="201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  <c r="N198" s="200"/>
      <c r="O198" s="200"/>
    </row>
    <row r="199" spans="1:15" ht="14.2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</row>
    <row r="200" spans="4:15" ht="15">
      <c r="D200" s="18"/>
      <c r="E200" s="18"/>
      <c r="G200" s="19"/>
      <c r="H200" s="113"/>
      <c r="I200" s="20"/>
      <c r="J200" s="19"/>
      <c r="K200" s="19"/>
      <c r="L200" s="19"/>
      <c r="M200" s="19"/>
      <c r="N200" s="129"/>
      <c r="O200" s="113"/>
    </row>
    <row r="201" spans="4:15" ht="16.5" customHeight="1">
      <c r="D201" s="18"/>
      <c r="E201" s="18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</row>
    <row r="202" spans="4:15" ht="7.5" customHeight="1">
      <c r="D202" s="18"/>
      <c r="E202" s="18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</row>
    <row r="203" spans="1:13" ht="15">
      <c r="A203" s="142"/>
      <c r="B203" s="19"/>
      <c r="C203" s="19"/>
      <c r="D203" s="19"/>
      <c r="E203" s="19"/>
      <c r="F203" s="19"/>
      <c r="H203" s="115"/>
      <c r="I203" s="19"/>
      <c r="J203" s="2"/>
      <c r="K203" s="2"/>
      <c r="L203" s="2"/>
      <c r="M203" s="2"/>
    </row>
    <row r="204" spans="1:13" ht="15">
      <c r="A204" s="142"/>
      <c r="B204" s="19"/>
      <c r="C204" s="19"/>
      <c r="D204" s="19"/>
      <c r="E204" s="19"/>
      <c r="F204" s="19"/>
      <c r="H204" s="115"/>
      <c r="I204" s="19"/>
      <c r="J204" s="2"/>
      <c r="K204" s="2"/>
      <c r="L204" s="2"/>
      <c r="M204" s="2"/>
    </row>
    <row r="205" spans="1:13" ht="15">
      <c r="A205" s="142"/>
      <c r="B205" s="19"/>
      <c r="C205" s="19"/>
      <c r="D205" s="19"/>
      <c r="E205" s="19"/>
      <c r="F205" s="19"/>
      <c r="H205" s="115"/>
      <c r="I205" s="19"/>
      <c r="J205" s="2"/>
      <c r="K205" s="2"/>
      <c r="L205" s="2"/>
      <c r="M205" s="2"/>
    </row>
    <row r="206" spans="4:15" ht="15">
      <c r="D206" s="18"/>
      <c r="E206" s="18"/>
      <c r="F206" s="21"/>
      <c r="G206" s="19"/>
      <c r="H206" s="115"/>
      <c r="I206" s="19"/>
      <c r="J206" s="19"/>
      <c r="K206" s="19"/>
      <c r="L206" s="19"/>
      <c r="M206" s="19"/>
      <c r="N206" s="129"/>
      <c r="O206" s="113"/>
    </row>
    <row r="207" spans="4:15" ht="15">
      <c r="D207" s="18"/>
      <c r="E207" s="18"/>
      <c r="F207" s="21"/>
      <c r="G207" s="19"/>
      <c r="H207" s="115"/>
      <c r="I207" s="19"/>
      <c r="J207" s="19"/>
      <c r="K207" s="19"/>
      <c r="L207" s="19"/>
      <c r="M207" s="19"/>
      <c r="N207" s="129"/>
      <c r="O207" s="113"/>
    </row>
    <row r="208" spans="1:15" ht="12.75">
      <c r="A208" s="143"/>
      <c r="B208" s="101"/>
      <c r="C208" s="67"/>
      <c r="D208" s="22"/>
      <c r="E208" s="22"/>
      <c r="F208" s="19"/>
      <c r="G208" s="19"/>
      <c r="H208" s="113"/>
      <c r="I208" s="19"/>
      <c r="J208" s="19"/>
      <c r="K208" s="19"/>
      <c r="L208" s="19"/>
      <c r="M208" s="19"/>
      <c r="N208" s="129"/>
      <c r="O208" s="113"/>
    </row>
    <row r="209" spans="4:15" ht="12.75">
      <c r="D209" s="18"/>
      <c r="E209" s="18"/>
      <c r="F209" s="21"/>
      <c r="G209" s="19"/>
      <c r="H209" s="113"/>
      <c r="I209" s="19"/>
      <c r="J209" s="19"/>
      <c r="K209" s="19"/>
      <c r="L209" s="19"/>
      <c r="M209" s="19"/>
      <c r="N209" s="129"/>
      <c r="O209" s="113"/>
    </row>
    <row r="210" spans="4:15" ht="12.75">
      <c r="D210" s="18"/>
      <c r="E210" s="18"/>
      <c r="F210" s="21"/>
      <c r="G210" s="19"/>
      <c r="H210" s="113"/>
      <c r="I210" s="19"/>
      <c r="J210" s="19"/>
      <c r="K210" s="19"/>
      <c r="L210" s="19"/>
      <c r="M210" s="19"/>
      <c r="N210" s="129"/>
      <c r="O210" s="113"/>
    </row>
    <row r="211" spans="1:15" ht="12.75">
      <c r="A211" s="143"/>
      <c r="B211" s="101"/>
      <c r="C211" s="67"/>
      <c r="D211" s="22"/>
      <c r="E211" s="22"/>
      <c r="F211" s="21"/>
      <c r="G211" s="19"/>
      <c r="H211" s="113"/>
      <c r="I211" s="19"/>
      <c r="J211" s="19"/>
      <c r="K211" s="19"/>
      <c r="L211" s="19"/>
      <c r="M211" s="19"/>
      <c r="N211" s="129"/>
      <c r="O211" s="113"/>
    </row>
    <row r="212" spans="1:15" ht="15.75">
      <c r="A212" s="144"/>
      <c r="B212" s="102"/>
      <c r="C212" s="52"/>
      <c r="D212" s="23"/>
      <c r="E212" s="23"/>
      <c r="F212" s="21"/>
      <c r="G212" s="19"/>
      <c r="H212" s="113"/>
      <c r="I212" s="19"/>
      <c r="J212" s="19"/>
      <c r="K212" s="19"/>
      <c r="L212" s="19"/>
      <c r="M212" s="19"/>
      <c r="N212" s="129"/>
      <c r="O212" s="113"/>
    </row>
    <row r="213" spans="4:15" ht="12.75">
      <c r="D213" s="18"/>
      <c r="E213" s="18"/>
      <c r="F213" s="21"/>
      <c r="G213" s="19"/>
      <c r="H213" s="113"/>
      <c r="I213" s="19"/>
      <c r="J213" s="19"/>
      <c r="K213" s="19"/>
      <c r="L213" s="19"/>
      <c r="M213" s="19"/>
      <c r="N213" s="129"/>
      <c r="O213" s="113"/>
    </row>
    <row r="214" spans="4:15" ht="12.75">
      <c r="D214" s="18"/>
      <c r="E214" s="18"/>
      <c r="F214" s="21"/>
      <c r="G214" s="19"/>
      <c r="H214" s="113"/>
      <c r="I214" s="19"/>
      <c r="J214" s="19"/>
      <c r="K214" s="19"/>
      <c r="L214" s="19"/>
      <c r="M214" s="19"/>
      <c r="N214" s="129"/>
      <c r="O214" s="113"/>
    </row>
    <row r="215" spans="4:15" ht="12.75">
      <c r="D215" s="18"/>
      <c r="E215" s="18"/>
      <c r="F215" s="21"/>
      <c r="G215" s="19"/>
      <c r="H215" s="113"/>
      <c r="I215" s="19"/>
      <c r="J215" s="19"/>
      <c r="K215" s="19"/>
      <c r="L215" s="19"/>
      <c r="M215" s="19"/>
      <c r="N215" s="129"/>
      <c r="O215" s="113"/>
    </row>
    <row r="216" spans="4:15" ht="12.75">
      <c r="D216" s="18"/>
      <c r="E216" s="18"/>
      <c r="F216" s="21"/>
      <c r="G216" s="19"/>
      <c r="H216" s="113"/>
      <c r="I216" s="19"/>
      <c r="J216" s="19"/>
      <c r="K216" s="19"/>
      <c r="L216" s="19"/>
      <c r="M216" s="19"/>
      <c r="N216" s="129"/>
      <c r="O216" s="113"/>
    </row>
    <row r="217" spans="4:15" ht="12.75">
      <c r="D217" s="18"/>
      <c r="E217" s="18"/>
      <c r="F217" s="21"/>
      <c r="G217" s="19"/>
      <c r="H217" s="113"/>
      <c r="I217" s="19"/>
      <c r="J217" s="19"/>
      <c r="K217" s="19"/>
      <c r="L217" s="19"/>
      <c r="M217" s="19"/>
      <c r="N217" s="129"/>
      <c r="O217" s="113"/>
    </row>
    <row r="218" spans="4:15" ht="12.75">
      <c r="D218" s="18"/>
      <c r="E218" s="18"/>
      <c r="F218" s="21"/>
      <c r="G218" s="19"/>
      <c r="H218" s="113"/>
      <c r="I218" s="19"/>
      <c r="J218" s="19"/>
      <c r="K218" s="19"/>
      <c r="L218" s="19"/>
      <c r="M218" s="19"/>
      <c r="N218" s="129"/>
      <c r="O218" s="113"/>
    </row>
    <row r="219" spans="4:15" ht="12.75">
      <c r="D219" s="18"/>
      <c r="E219" s="18"/>
      <c r="F219" s="21"/>
      <c r="G219" s="19"/>
      <c r="H219" s="113"/>
      <c r="I219" s="19"/>
      <c r="J219" s="19"/>
      <c r="K219" s="19"/>
      <c r="L219" s="19"/>
      <c r="M219" s="19"/>
      <c r="N219" s="129"/>
      <c r="O219" s="113"/>
    </row>
    <row r="220" spans="4:15" ht="12.75">
      <c r="D220" s="18"/>
      <c r="E220" s="18"/>
      <c r="F220" s="21"/>
      <c r="G220" s="19"/>
      <c r="H220" s="113"/>
      <c r="I220" s="19"/>
      <c r="J220" s="19"/>
      <c r="K220" s="19"/>
      <c r="L220" s="19"/>
      <c r="M220" s="19"/>
      <c r="N220" s="129"/>
      <c r="O220" s="113"/>
    </row>
    <row r="221" spans="4:15" ht="12.75">
      <c r="D221" s="18"/>
      <c r="E221" s="18"/>
      <c r="F221" s="21"/>
      <c r="G221" s="19"/>
      <c r="H221" s="113"/>
      <c r="I221" s="19"/>
      <c r="J221" s="19"/>
      <c r="K221" s="19"/>
      <c r="L221" s="19"/>
      <c r="M221" s="19"/>
      <c r="N221" s="129"/>
      <c r="O221" s="113"/>
    </row>
    <row r="222" spans="4:15" ht="12.75">
      <c r="D222" s="18"/>
      <c r="E222" s="18"/>
      <c r="F222" s="21"/>
      <c r="G222" s="19"/>
      <c r="H222" s="113"/>
      <c r="I222" s="19"/>
      <c r="J222" s="19"/>
      <c r="K222" s="19"/>
      <c r="L222" s="19"/>
      <c r="M222" s="19"/>
      <c r="N222" s="129"/>
      <c r="O222" s="113"/>
    </row>
    <row r="223" spans="4:15" ht="12.75">
      <c r="D223" s="18"/>
      <c r="E223" s="18"/>
      <c r="F223" s="24"/>
      <c r="G223" s="25"/>
      <c r="H223" s="116"/>
      <c r="I223" s="26"/>
      <c r="J223" s="27"/>
      <c r="K223" s="27"/>
      <c r="L223" s="27"/>
      <c r="M223" s="28"/>
      <c r="N223" s="131"/>
      <c r="O223" s="138"/>
    </row>
    <row r="224" spans="4:15" ht="12.75">
      <c r="D224" s="18"/>
      <c r="E224" s="18"/>
      <c r="F224" s="24"/>
      <c r="G224" s="25"/>
      <c r="H224" s="116"/>
      <c r="I224" s="26"/>
      <c r="J224" s="27"/>
      <c r="K224" s="27"/>
      <c r="L224" s="27"/>
      <c r="M224" s="28"/>
      <c r="N224" s="131"/>
      <c r="O224" s="138"/>
    </row>
    <row r="225" spans="4:15" ht="12.75">
      <c r="D225" s="18"/>
      <c r="E225" s="18"/>
      <c r="F225" s="24"/>
      <c r="G225" s="25"/>
      <c r="H225" s="116"/>
      <c r="I225" s="26"/>
      <c r="J225" s="27"/>
      <c r="K225" s="27"/>
      <c r="L225" s="27"/>
      <c r="M225" s="28"/>
      <c r="N225" s="131"/>
      <c r="O225" s="138"/>
    </row>
    <row r="226" spans="4:15" ht="12.75">
      <c r="D226" s="18"/>
      <c r="E226" s="18"/>
      <c r="F226" s="24"/>
      <c r="G226" s="25"/>
      <c r="H226" s="116"/>
      <c r="I226" s="26"/>
      <c r="J226" s="27"/>
      <c r="K226" s="27"/>
      <c r="L226" s="27"/>
      <c r="M226" s="28"/>
      <c r="N226" s="131"/>
      <c r="O226" s="138"/>
    </row>
    <row r="227" spans="4:15" ht="12.75">
      <c r="D227" s="18"/>
      <c r="E227" s="18"/>
      <c r="F227" s="24"/>
      <c r="G227" s="25"/>
      <c r="H227" s="116"/>
      <c r="I227" s="26"/>
      <c r="J227" s="27"/>
      <c r="K227" s="27"/>
      <c r="L227" s="27"/>
      <c r="M227" s="28"/>
      <c r="N227" s="131"/>
      <c r="O227" s="138"/>
    </row>
    <row r="228" spans="4:15" ht="12.75">
      <c r="D228" s="18"/>
      <c r="E228" s="18"/>
      <c r="F228" s="24"/>
      <c r="G228" s="25"/>
      <c r="H228" s="116"/>
      <c r="I228" s="26"/>
      <c r="J228" s="27"/>
      <c r="K228" s="27"/>
      <c r="L228" s="27"/>
      <c r="M228" s="28"/>
      <c r="N228" s="131"/>
      <c r="O228" s="138"/>
    </row>
    <row r="229" spans="4:15" ht="12.75">
      <c r="D229" s="18"/>
      <c r="E229" s="18"/>
      <c r="F229" s="24"/>
      <c r="G229" s="25"/>
      <c r="H229" s="116"/>
      <c r="I229" s="26"/>
      <c r="J229" s="27"/>
      <c r="K229" s="27"/>
      <c r="L229" s="27"/>
      <c r="M229" s="28"/>
      <c r="N229" s="131"/>
      <c r="O229" s="138"/>
    </row>
    <row r="230" spans="4:15" ht="12.75">
      <c r="D230" s="18"/>
      <c r="E230" s="18"/>
      <c r="F230" s="24"/>
      <c r="G230" s="25"/>
      <c r="H230" s="116"/>
      <c r="I230" s="26"/>
      <c r="J230" s="27"/>
      <c r="K230" s="27"/>
      <c r="L230" s="27"/>
      <c r="M230" s="28"/>
      <c r="N230" s="131"/>
      <c r="O230" s="138"/>
    </row>
    <row r="231" spans="4:15" ht="12.75">
      <c r="D231" s="18"/>
      <c r="E231" s="18"/>
      <c r="F231" s="24"/>
      <c r="G231" s="25"/>
      <c r="H231" s="116"/>
      <c r="I231" s="26"/>
      <c r="J231" s="27"/>
      <c r="K231" s="27"/>
      <c r="L231" s="27"/>
      <c r="M231" s="28"/>
      <c r="N231" s="131"/>
      <c r="O231" s="138"/>
    </row>
    <row r="232" spans="4:15" ht="12.75">
      <c r="D232" s="18"/>
      <c r="E232" s="18"/>
      <c r="F232" s="24"/>
      <c r="G232" s="25"/>
      <c r="H232" s="116"/>
      <c r="I232" s="26"/>
      <c r="J232" s="27"/>
      <c r="K232" s="27"/>
      <c r="L232" s="27"/>
      <c r="M232" s="28"/>
      <c r="N232" s="131"/>
      <c r="O232" s="138"/>
    </row>
    <row r="233" spans="4:15" ht="12.75">
      <c r="D233" s="18"/>
      <c r="E233" s="18"/>
      <c r="F233" s="24"/>
      <c r="G233" s="25"/>
      <c r="H233" s="116"/>
      <c r="I233" s="26"/>
      <c r="J233" s="27"/>
      <c r="K233" s="27"/>
      <c r="L233" s="27"/>
      <c r="M233" s="28"/>
      <c r="N233" s="131"/>
      <c r="O233" s="138"/>
    </row>
    <row r="234" spans="4:15" ht="12.75">
      <c r="D234" s="18"/>
      <c r="E234" s="18"/>
      <c r="F234" s="24"/>
      <c r="G234" s="25"/>
      <c r="H234" s="116"/>
      <c r="I234" s="26"/>
      <c r="J234" s="27"/>
      <c r="K234" s="27"/>
      <c r="L234" s="27"/>
      <c r="M234" s="28"/>
      <c r="N234" s="131"/>
      <c r="O234" s="138"/>
    </row>
    <row r="235" spans="4:15" ht="12.75">
      <c r="D235" s="18"/>
      <c r="E235" s="18"/>
      <c r="F235" s="24"/>
      <c r="G235" s="25"/>
      <c r="H235" s="116"/>
      <c r="I235" s="26"/>
      <c r="J235" s="27"/>
      <c r="K235" s="27"/>
      <c r="L235" s="27"/>
      <c r="M235" s="28"/>
      <c r="N235" s="131"/>
      <c r="O235" s="138"/>
    </row>
    <row r="236" spans="4:15" ht="12.75">
      <c r="D236" s="18"/>
      <c r="E236" s="18"/>
      <c r="F236" s="24"/>
      <c r="G236" s="25"/>
      <c r="H236" s="116"/>
      <c r="I236" s="26"/>
      <c r="J236" s="27"/>
      <c r="K236" s="27"/>
      <c r="L236" s="27"/>
      <c r="M236" s="28"/>
      <c r="N236" s="131"/>
      <c r="O236" s="138"/>
    </row>
    <row r="237" spans="4:15" ht="12.75">
      <c r="D237" s="18"/>
      <c r="E237" s="18"/>
      <c r="F237" s="24"/>
      <c r="G237" s="25"/>
      <c r="H237" s="116"/>
      <c r="I237" s="26"/>
      <c r="J237" s="27"/>
      <c r="K237" s="27"/>
      <c r="L237" s="27"/>
      <c r="M237" s="28"/>
      <c r="N237" s="131"/>
      <c r="O237" s="138"/>
    </row>
    <row r="238" spans="4:15" ht="12.75">
      <c r="D238" s="18"/>
      <c r="E238" s="18"/>
      <c r="F238" s="24"/>
      <c r="G238" s="25"/>
      <c r="H238" s="116"/>
      <c r="I238" s="26"/>
      <c r="J238" s="27"/>
      <c r="K238" s="27"/>
      <c r="L238" s="27"/>
      <c r="M238" s="28"/>
      <c r="N238" s="131"/>
      <c r="O238" s="138"/>
    </row>
    <row r="239" spans="4:15" ht="12.75">
      <c r="D239" s="18"/>
      <c r="E239" s="18"/>
      <c r="F239" s="24"/>
      <c r="G239" s="25"/>
      <c r="H239" s="116"/>
      <c r="I239" s="26"/>
      <c r="J239" s="27"/>
      <c r="K239" s="27"/>
      <c r="L239" s="27"/>
      <c r="M239" s="28"/>
      <c r="N239" s="131"/>
      <c r="O239" s="138"/>
    </row>
    <row r="240" spans="4:15" ht="12.75">
      <c r="D240" s="18"/>
      <c r="E240" s="18"/>
      <c r="F240" s="24"/>
      <c r="G240" s="25"/>
      <c r="H240" s="116"/>
      <c r="I240" s="26"/>
      <c r="J240" s="27"/>
      <c r="K240" s="27"/>
      <c r="L240" s="27"/>
      <c r="M240" s="28"/>
      <c r="N240" s="131"/>
      <c r="O240" s="138"/>
    </row>
    <row r="241" spans="4:15" ht="12.75">
      <c r="D241" s="18"/>
      <c r="E241" s="18"/>
      <c r="F241" s="24"/>
      <c r="G241" s="25"/>
      <c r="H241" s="116"/>
      <c r="I241" s="26"/>
      <c r="J241" s="27"/>
      <c r="K241" s="27"/>
      <c r="L241" s="27"/>
      <c r="M241" s="28"/>
      <c r="N241" s="131"/>
      <c r="O241" s="138"/>
    </row>
    <row r="242" spans="4:15" ht="12.75">
      <c r="D242" s="18"/>
      <c r="E242" s="18"/>
      <c r="F242" s="24"/>
      <c r="G242" s="25"/>
      <c r="H242" s="116"/>
      <c r="I242" s="26"/>
      <c r="J242" s="27"/>
      <c r="K242" s="27"/>
      <c r="L242" s="27"/>
      <c r="M242" s="28"/>
      <c r="N242" s="131"/>
      <c r="O242" s="138"/>
    </row>
    <row r="243" spans="4:15" ht="12.75">
      <c r="D243" s="18"/>
      <c r="E243" s="18"/>
      <c r="F243" s="24"/>
      <c r="G243" s="25"/>
      <c r="H243" s="116"/>
      <c r="I243" s="26"/>
      <c r="J243" s="27"/>
      <c r="K243" s="27"/>
      <c r="L243" s="27"/>
      <c r="M243" s="28"/>
      <c r="N243" s="131"/>
      <c r="O243" s="138"/>
    </row>
    <row r="244" spans="4:15" ht="12.75">
      <c r="D244" s="18"/>
      <c r="E244" s="18"/>
      <c r="F244" s="24"/>
      <c r="G244" s="25"/>
      <c r="H244" s="116"/>
      <c r="I244" s="26"/>
      <c r="J244" s="27"/>
      <c r="K244" s="27"/>
      <c r="L244" s="27"/>
      <c r="M244" s="28"/>
      <c r="N244" s="131"/>
      <c r="O244" s="138"/>
    </row>
    <row r="245" spans="4:15" ht="12.75">
      <c r="D245" s="18"/>
      <c r="E245" s="18"/>
      <c r="F245" s="24"/>
      <c r="G245" s="25"/>
      <c r="H245" s="116"/>
      <c r="I245" s="26"/>
      <c r="J245" s="27"/>
      <c r="K245" s="27"/>
      <c r="L245" s="27"/>
      <c r="M245" s="28"/>
      <c r="N245" s="131"/>
      <c r="O245" s="138"/>
    </row>
    <row r="246" spans="4:15" ht="12.75">
      <c r="D246" s="18"/>
      <c r="E246" s="18"/>
      <c r="F246" s="24"/>
      <c r="G246" s="25"/>
      <c r="H246" s="116"/>
      <c r="I246" s="26"/>
      <c r="J246" s="27"/>
      <c r="K246" s="27"/>
      <c r="L246" s="27"/>
      <c r="M246" s="28"/>
      <c r="N246" s="131"/>
      <c r="O246" s="138"/>
    </row>
    <row r="247" spans="4:15" ht="12.75">
      <c r="D247" s="18"/>
      <c r="E247" s="18"/>
      <c r="F247" s="24"/>
      <c r="G247" s="25"/>
      <c r="H247" s="116"/>
      <c r="I247" s="26"/>
      <c r="J247" s="27"/>
      <c r="K247" s="27"/>
      <c r="L247" s="27"/>
      <c r="M247" s="28"/>
      <c r="N247" s="131"/>
      <c r="O247" s="138"/>
    </row>
    <row r="248" spans="4:15" ht="12.75">
      <c r="D248" s="18"/>
      <c r="E248" s="18"/>
      <c r="F248" s="29"/>
      <c r="G248" s="25"/>
      <c r="H248" s="116"/>
      <c r="I248" s="26"/>
      <c r="J248" s="27"/>
      <c r="K248" s="27"/>
      <c r="L248" s="27"/>
      <c r="M248" s="28"/>
      <c r="N248" s="131"/>
      <c r="O248" s="138"/>
    </row>
    <row r="249" spans="4:15" ht="12.75">
      <c r="D249" s="18"/>
      <c r="E249" s="18"/>
      <c r="F249" s="29"/>
      <c r="G249" s="25"/>
      <c r="H249" s="116"/>
      <c r="I249" s="26"/>
      <c r="J249" s="27"/>
      <c r="K249" s="27"/>
      <c r="L249" s="27"/>
      <c r="M249" s="28"/>
      <c r="N249" s="131"/>
      <c r="O249" s="138"/>
    </row>
    <row r="250" spans="4:15" ht="12.75">
      <c r="D250" s="18"/>
      <c r="E250" s="18"/>
      <c r="F250" s="29"/>
      <c r="G250" s="25"/>
      <c r="H250" s="116"/>
      <c r="I250" s="26"/>
      <c r="J250" s="27"/>
      <c r="K250" s="27"/>
      <c r="L250" s="27"/>
      <c r="M250" s="28"/>
      <c r="N250" s="131"/>
      <c r="O250" s="138"/>
    </row>
    <row r="251" spans="4:15" ht="12.75">
      <c r="D251" s="18"/>
      <c r="E251" s="18"/>
      <c r="F251" s="29"/>
      <c r="G251" s="25"/>
      <c r="H251" s="117"/>
      <c r="I251" s="26"/>
      <c r="J251" s="27"/>
      <c r="K251" s="27"/>
      <c r="L251" s="27"/>
      <c r="M251" s="28"/>
      <c r="N251" s="131"/>
      <c r="O251" s="138"/>
    </row>
    <row r="252" spans="4:15" ht="12.75">
      <c r="D252" s="18"/>
      <c r="E252" s="18"/>
      <c r="F252" s="24"/>
      <c r="G252" s="25"/>
      <c r="H252" s="116"/>
      <c r="I252" s="26"/>
      <c r="J252" s="27"/>
      <c r="K252" s="27"/>
      <c r="L252" s="27"/>
      <c r="M252" s="28"/>
      <c r="N252" s="131"/>
      <c r="O252" s="138"/>
    </row>
    <row r="253" spans="4:15" ht="12.75">
      <c r="D253" s="18"/>
      <c r="E253" s="18"/>
      <c r="F253" s="29"/>
      <c r="G253" s="25"/>
      <c r="H253" s="116"/>
      <c r="I253" s="26"/>
      <c r="J253" s="27"/>
      <c r="K253" s="27"/>
      <c r="L253" s="27"/>
      <c r="M253" s="28"/>
      <c r="N253" s="131"/>
      <c r="O253" s="138"/>
    </row>
    <row r="254" spans="4:15" ht="12.75">
      <c r="D254" s="18"/>
      <c r="E254" s="18"/>
      <c r="F254" s="29"/>
      <c r="G254" s="25"/>
      <c r="H254" s="116"/>
      <c r="I254" s="26"/>
      <c r="J254" s="27"/>
      <c r="K254" s="27"/>
      <c r="L254" s="27"/>
      <c r="M254" s="28"/>
      <c r="N254" s="131"/>
      <c r="O254" s="138"/>
    </row>
    <row r="255" spans="4:15" ht="12.75">
      <c r="D255" s="18"/>
      <c r="E255" s="18"/>
      <c r="F255" s="29"/>
      <c r="G255" s="25"/>
      <c r="H255" s="116"/>
      <c r="I255" s="26"/>
      <c r="J255" s="27"/>
      <c r="K255" s="27"/>
      <c r="L255" s="27"/>
      <c r="M255" s="28"/>
      <c r="N255" s="131"/>
      <c r="O255" s="138"/>
    </row>
    <row r="256" spans="4:15" ht="12.75">
      <c r="D256" s="18"/>
      <c r="E256" s="18"/>
      <c r="F256" s="29"/>
      <c r="G256" s="25"/>
      <c r="H256" s="116"/>
      <c r="I256" s="26"/>
      <c r="J256" s="27"/>
      <c r="K256" s="27"/>
      <c r="L256" s="27"/>
      <c r="M256" s="28"/>
      <c r="N256" s="131"/>
      <c r="O256" s="138"/>
    </row>
    <row r="257" spans="4:15" ht="12.75">
      <c r="D257" s="18"/>
      <c r="E257" s="18"/>
      <c r="F257" s="24"/>
      <c r="G257" s="25"/>
      <c r="H257" s="116"/>
      <c r="I257" s="26"/>
      <c r="J257" s="27"/>
      <c r="K257" s="27"/>
      <c r="L257" s="27"/>
      <c r="M257" s="28"/>
      <c r="N257" s="131"/>
      <c r="O257" s="138"/>
    </row>
    <row r="258" spans="4:15" ht="12.75">
      <c r="D258" s="18"/>
      <c r="E258" s="18"/>
      <c r="F258" s="24"/>
      <c r="G258" s="25"/>
      <c r="H258" s="116"/>
      <c r="I258" s="26"/>
      <c r="J258" s="27"/>
      <c r="K258" s="27"/>
      <c r="L258" s="27"/>
      <c r="M258" s="28"/>
      <c r="N258" s="131"/>
      <c r="O258" s="138"/>
    </row>
    <row r="259" spans="4:15" ht="12.75">
      <c r="D259" s="18"/>
      <c r="E259" s="18"/>
      <c r="F259" s="24"/>
      <c r="G259" s="25"/>
      <c r="H259" s="116"/>
      <c r="I259" s="26"/>
      <c r="J259" s="27"/>
      <c r="K259" s="27"/>
      <c r="L259" s="27"/>
      <c r="M259" s="28"/>
      <c r="N259" s="131"/>
      <c r="O259" s="138"/>
    </row>
    <row r="260" spans="4:15" ht="12.75">
      <c r="D260" s="18"/>
      <c r="E260" s="18"/>
      <c r="F260" s="24"/>
      <c r="G260" s="25"/>
      <c r="H260" s="116"/>
      <c r="I260" s="26"/>
      <c r="J260" s="27"/>
      <c r="K260" s="19"/>
      <c r="L260" s="19"/>
      <c r="M260" s="28"/>
      <c r="N260" s="131"/>
      <c r="O260" s="138"/>
    </row>
    <row r="261" spans="4:15" ht="12.75">
      <c r="D261" s="18"/>
      <c r="E261" s="18"/>
      <c r="F261" s="24"/>
      <c r="G261" s="25"/>
      <c r="H261" s="116"/>
      <c r="I261" s="26"/>
      <c r="J261" s="27"/>
      <c r="K261" s="27"/>
      <c r="L261" s="27"/>
      <c r="M261" s="28"/>
      <c r="N261" s="131"/>
      <c r="O261" s="138"/>
    </row>
    <row r="262" spans="4:15" ht="12" customHeight="1">
      <c r="D262" s="18"/>
      <c r="E262" s="18"/>
      <c r="F262" s="24"/>
      <c r="G262" s="25"/>
      <c r="H262" s="116"/>
      <c r="I262" s="26"/>
      <c r="J262" s="27"/>
      <c r="K262" s="30"/>
      <c r="L262" s="30"/>
      <c r="M262" s="30"/>
      <c r="N262" s="131"/>
      <c r="O262" s="138"/>
    </row>
    <row r="263" spans="4:15" ht="12" customHeight="1">
      <c r="D263" s="18"/>
      <c r="E263" s="18"/>
      <c r="F263" s="24"/>
      <c r="G263" s="25"/>
      <c r="H263" s="116"/>
      <c r="I263" s="26"/>
      <c r="J263" s="27"/>
      <c r="K263" s="30"/>
      <c r="L263" s="30"/>
      <c r="M263" s="30"/>
      <c r="N263" s="131"/>
      <c r="O263" s="138"/>
    </row>
    <row r="264" spans="4:15" ht="12" customHeight="1">
      <c r="D264" s="18"/>
      <c r="E264" s="18"/>
      <c r="F264" s="24"/>
      <c r="G264" s="25"/>
      <c r="H264" s="116"/>
      <c r="I264" s="26"/>
      <c r="J264" s="27"/>
      <c r="K264" s="27"/>
      <c r="L264" s="27"/>
      <c r="M264" s="28"/>
      <c r="N264" s="131"/>
      <c r="O264" s="138"/>
    </row>
    <row r="265" spans="4:15" ht="12" customHeight="1">
      <c r="D265" s="18"/>
      <c r="E265" s="18"/>
      <c r="F265" s="24"/>
      <c r="G265" s="25"/>
      <c r="H265" s="116"/>
      <c r="I265" s="26"/>
      <c r="J265" s="27"/>
      <c r="K265" s="27"/>
      <c r="L265" s="27"/>
      <c r="M265" s="28"/>
      <c r="N265" s="131"/>
      <c r="O265" s="138"/>
    </row>
    <row r="266" spans="4:15" ht="12" customHeight="1">
      <c r="D266" s="18"/>
      <c r="E266" s="18"/>
      <c r="F266" s="24"/>
      <c r="G266" s="25"/>
      <c r="H266" s="116"/>
      <c r="I266" s="26"/>
      <c r="J266" s="27"/>
      <c r="K266" s="27"/>
      <c r="L266" s="27"/>
      <c r="M266" s="28"/>
      <c r="N266" s="131"/>
      <c r="O266" s="138"/>
    </row>
    <row r="267" spans="4:15" ht="12" customHeight="1">
      <c r="D267" s="18"/>
      <c r="E267" s="18"/>
      <c r="F267" s="24"/>
      <c r="G267" s="25"/>
      <c r="H267" s="116"/>
      <c r="I267" s="26"/>
      <c r="J267" s="27"/>
      <c r="K267" s="27"/>
      <c r="L267" s="27"/>
      <c r="M267" s="28"/>
      <c r="N267" s="131"/>
      <c r="O267" s="138"/>
    </row>
    <row r="268" spans="4:15" ht="12" customHeight="1">
      <c r="D268" s="18"/>
      <c r="E268" s="18"/>
      <c r="F268" s="24"/>
      <c r="G268" s="25"/>
      <c r="H268" s="116"/>
      <c r="I268" s="26"/>
      <c r="J268" s="27"/>
      <c r="K268" s="27"/>
      <c r="L268" s="27"/>
      <c r="M268" s="28"/>
      <c r="N268" s="131"/>
      <c r="O268" s="138"/>
    </row>
    <row r="269" spans="4:15" ht="12.75" customHeight="1">
      <c r="D269" s="18"/>
      <c r="E269" s="18"/>
      <c r="F269" s="24"/>
      <c r="G269" s="25"/>
      <c r="H269" s="116"/>
      <c r="I269" s="26"/>
      <c r="J269" s="27"/>
      <c r="K269" s="27"/>
      <c r="L269" s="27"/>
      <c r="M269" s="28"/>
      <c r="N269" s="131"/>
      <c r="O269" s="138"/>
    </row>
    <row r="270" spans="4:15" ht="12.75" customHeight="1">
      <c r="D270" s="18"/>
      <c r="E270" s="18"/>
      <c r="F270" s="29"/>
      <c r="G270" s="25"/>
      <c r="H270" s="116"/>
      <c r="I270" s="26"/>
      <c r="J270" s="27"/>
      <c r="K270" s="27"/>
      <c r="L270" s="27"/>
      <c r="M270" s="28"/>
      <c r="N270" s="131"/>
      <c r="O270" s="138"/>
    </row>
    <row r="271" spans="4:15" ht="12.75" customHeight="1">
      <c r="D271" s="18"/>
      <c r="E271" s="18"/>
      <c r="F271" s="29"/>
      <c r="G271" s="25"/>
      <c r="H271" s="116"/>
      <c r="I271" s="26"/>
      <c r="J271" s="27"/>
      <c r="K271" s="27"/>
      <c r="L271" s="27"/>
      <c r="M271" s="28"/>
      <c r="N271" s="131"/>
      <c r="O271" s="138"/>
    </row>
    <row r="272" spans="4:15" ht="12.75" customHeight="1">
      <c r="D272" s="18"/>
      <c r="E272" s="18"/>
      <c r="F272" s="13"/>
      <c r="G272" s="31"/>
      <c r="H272" s="118"/>
      <c r="I272" s="32"/>
      <c r="J272" s="33"/>
      <c r="K272" s="33"/>
      <c r="L272" s="33"/>
      <c r="M272" s="34"/>
      <c r="N272" s="132"/>
      <c r="O272" s="139"/>
    </row>
    <row r="273" spans="4:15" ht="12" customHeight="1">
      <c r="D273" s="18"/>
      <c r="E273" s="18"/>
      <c r="F273" s="13"/>
      <c r="G273" s="31"/>
      <c r="H273" s="118"/>
      <c r="I273" s="32"/>
      <c r="J273" s="33"/>
      <c r="K273" s="33"/>
      <c r="L273" s="33"/>
      <c r="M273" s="34"/>
      <c r="N273" s="132"/>
      <c r="O273" s="139"/>
    </row>
    <row r="274" spans="4:15" ht="12.75">
      <c r="D274" s="18"/>
      <c r="E274" s="18"/>
      <c r="F274" s="13"/>
      <c r="G274" s="31"/>
      <c r="H274" s="118"/>
      <c r="I274" s="32"/>
      <c r="J274" s="33"/>
      <c r="K274" s="33"/>
      <c r="L274" s="33"/>
      <c r="M274" s="34"/>
      <c r="N274" s="132"/>
      <c r="O274" s="139"/>
    </row>
    <row r="275" spans="4:15" ht="12.75">
      <c r="D275" s="18"/>
      <c r="E275" s="18"/>
      <c r="F275" s="13"/>
      <c r="G275" s="31"/>
      <c r="H275" s="118"/>
      <c r="I275" s="32"/>
      <c r="J275" s="33"/>
      <c r="K275" s="33"/>
      <c r="L275" s="33"/>
      <c r="M275" s="34"/>
      <c r="N275" s="132"/>
      <c r="O275" s="139"/>
    </row>
    <row r="276" spans="4:15" ht="12.75">
      <c r="D276" s="18"/>
      <c r="E276" s="18"/>
      <c r="F276" s="13"/>
      <c r="G276" s="31"/>
      <c r="H276" s="118"/>
      <c r="I276" s="32"/>
      <c r="J276" s="33"/>
      <c r="K276" s="33"/>
      <c r="L276" s="33"/>
      <c r="M276" s="34"/>
      <c r="N276" s="132"/>
      <c r="O276" s="139"/>
    </row>
    <row r="277" spans="4:15" ht="22.5" customHeight="1">
      <c r="D277" s="18"/>
      <c r="E277" s="18"/>
      <c r="F277" s="13"/>
      <c r="G277" s="31"/>
      <c r="H277" s="118"/>
      <c r="I277" s="32"/>
      <c r="J277" s="33"/>
      <c r="K277" s="33"/>
      <c r="L277" s="33"/>
      <c r="M277" s="34"/>
      <c r="N277" s="132"/>
      <c r="O277" s="139"/>
    </row>
    <row r="278" spans="4:15" ht="12.75">
      <c r="D278" s="18"/>
      <c r="E278" s="18"/>
      <c r="F278" s="13"/>
      <c r="G278" s="31"/>
      <c r="H278" s="118"/>
      <c r="I278" s="32"/>
      <c r="J278" s="33"/>
      <c r="K278" s="33"/>
      <c r="L278" s="33"/>
      <c r="M278" s="34"/>
      <c r="N278" s="132"/>
      <c r="O278" s="139"/>
    </row>
    <row r="279" spans="4:15" ht="12.75">
      <c r="D279" s="18"/>
      <c r="E279" s="18"/>
      <c r="F279" s="13"/>
      <c r="G279" s="31"/>
      <c r="H279" s="118"/>
      <c r="I279" s="32"/>
      <c r="J279" s="33"/>
      <c r="K279" s="33"/>
      <c r="L279" s="33"/>
      <c r="M279" s="34"/>
      <c r="N279" s="132"/>
      <c r="O279" s="139"/>
    </row>
    <row r="280" spans="4:15" ht="12.75">
      <c r="D280" s="18"/>
      <c r="E280" s="18"/>
      <c r="F280" s="13"/>
      <c r="G280" s="31"/>
      <c r="H280" s="118"/>
      <c r="I280" s="32"/>
      <c r="J280" s="33"/>
      <c r="K280" s="33"/>
      <c r="L280" s="33"/>
      <c r="M280" s="34"/>
      <c r="N280" s="132"/>
      <c r="O280" s="139"/>
    </row>
    <row r="281" spans="4:15" ht="12.75">
      <c r="D281" s="18"/>
      <c r="E281" s="18"/>
      <c r="F281" s="13"/>
      <c r="G281" s="31"/>
      <c r="H281" s="118"/>
      <c r="I281" s="32"/>
      <c r="J281" s="33"/>
      <c r="K281" s="33"/>
      <c r="L281" s="33"/>
      <c r="M281" s="34"/>
      <c r="N281" s="132"/>
      <c r="O281" s="139"/>
    </row>
    <row r="282" spans="4:15" ht="12.75">
      <c r="D282" s="18"/>
      <c r="E282" s="18"/>
      <c r="F282" s="36"/>
      <c r="G282" s="37"/>
      <c r="H282" s="119"/>
      <c r="I282" s="32"/>
      <c r="J282" s="33"/>
      <c r="K282" s="33"/>
      <c r="L282" s="33"/>
      <c r="M282" s="34"/>
      <c r="N282" s="132"/>
      <c r="O282" s="122"/>
    </row>
    <row r="283" spans="4:15" ht="12.75">
      <c r="D283" s="18"/>
      <c r="E283" s="18"/>
      <c r="F283" s="36"/>
      <c r="G283" s="37"/>
      <c r="H283" s="119"/>
      <c r="I283" s="32"/>
      <c r="J283" s="33"/>
      <c r="K283" s="33"/>
      <c r="L283" s="33"/>
      <c r="M283" s="34"/>
      <c r="N283" s="132"/>
      <c r="O283" s="122"/>
    </row>
    <row r="284" spans="4:15" ht="12.75">
      <c r="D284" s="18"/>
      <c r="E284" s="18"/>
      <c r="F284" s="36"/>
      <c r="G284" s="37"/>
      <c r="H284" s="119"/>
      <c r="I284" s="32"/>
      <c r="J284" s="33"/>
      <c r="K284" s="33"/>
      <c r="L284" s="33"/>
      <c r="M284" s="34"/>
      <c r="N284" s="132"/>
      <c r="O284" s="122"/>
    </row>
    <row r="285" spans="4:15" ht="12.75">
      <c r="D285" s="18"/>
      <c r="E285" s="18"/>
      <c r="F285" s="36"/>
      <c r="G285" s="37"/>
      <c r="H285" s="119"/>
      <c r="I285" s="32"/>
      <c r="J285" s="33"/>
      <c r="K285" s="33"/>
      <c r="L285" s="33"/>
      <c r="M285" s="34"/>
      <c r="N285" s="132"/>
      <c r="O285" s="122"/>
    </row>
    <row r="286" spans="4:15" ht="12.75">
      <c r="D286" s="18"/>
      <c r="E286" s="18"/>
      <c r="F286" s="13"/>
      <c r="G286" s="31"/>
      <c r="H286" s="118"/>
      <c r="I286" s="32"/>
      <c r="J286" s="33"/>
      <c r="K286" s="33"/>
      <c r="L286" s="33"/>
      <c r="M286" s="34"/>
      <c r="N286" s="132"/>
      <c r="O286" s="139"/>
    </row>
    <row r="287" spans="4:15" ht="12.75">
      <c r="D287" s="18"/>
      <c r="E287" s="18"/>
      <c r="F287" s="38"/>
      <c r="G287" s="37"/>
      <c r="H287" s="119"/>
      <c r="I287" s="37"/>
      <c r="J287" s="39"/>
      <c r="K287" s="39"/>
      <c r="L287" s="39"/>
      <c r="M287" s="37"/>
      <c r="N287" s="133"/>
      <c r="O287" s="119"/>
    </row>
    <row r="288" spans="4:15" ht="12.75">
      <c r="D288" s="18"/>
      <c r="E288" s="18"/>
      <c r="F288" s="13"/>
      <c r="G288" s="37"/>
      <c r="H288" s="118"/>
      <c r="I288" s="32"/>
      <c r="J288" s="33"/>
      <c r="K288" s="33"/>
      <c r="L288" s="33"/>
      <c r="M288" s="34"/>
      <c r="N288" s="132"/>
      <c r="O288" s="122"/>
    </row>
    <row r="289" spans="4:15" ht="12.75">
      <c r="D289" s="18"/>
      <c r="E289" s="18"/>
      <c r="F289" s="13"/>
      <c r="G289" s="37"/>
      <c r="H289" s="118"/>
      <c r="I289" s="32"/>
      <c r="J289" s="33"/>
      <c r="K289" s="33"/>
      <c r="L289" s="33"/>
      <c r="M289" s="34"/>
      <c r="N289" s="132"/>
      <c r="O289" s="122"/>
    </row>
    <row r="290" spans="4:15" ht="12.75">
      <c r="D290" s="18"/>
      <c r="E290" s="18"/>
      <c r="F290" s="40"/>
      <c r="G290" s="37"/>
      <c r="H290" s="118"/>
      <c r="I290" s="32"/>
      <c r="J290" s="33"/>
      <c r="K290" s="39"/>
      <c r="L290" s="39"/>
      <c r="M290" s="41"/>
      <c r="N290" s="132"/>
      <c r="O290" s="122"/>
    </row>
    <row r="291" spans="4:15" ht="12.75">
      <c r="D291" s="18"/>
      <c r="E291" s="18"/>
      <c r="F291" s="13"/>
      <c r="G291" s="37"/>
      <c r="H291" s="118"/>
      <c r="I291" s="32"/>
      <c r="J291" s="33"/>
      <c r="K291" s="33"/>
      <c r="L291" s="33"/>
      <c r="M291" s="34"/>
      <c r="N291" s="132"/>
      <c r="O291" s="122"/>
    </row>
    <row r="292" spans="4:15" ht="12.75">
      <c r="D292" s="18"/>
      <c r="E292" s="18"/>
      <c r="F292" s="13"/>
      <c r="G292" s="37"/>
      <c r="H292" s="118"/>
      <c r="I292" s="42"/>
      <c r="J292" s="43"/>
      <c r="K292" s="33"/>
      <c r="L292" s="33"/>
      <c r="M292" s="44"/>
      <c r="N292" s="134"/>
      <c r="O292" s="122"/>
    </row>
    <row r="293" spans="4:15" ht="12.75">
      <c r="D293" s="18"/>
      <c r="E293" s="18"/>
      <c r="F293" s="13"/>
      <c r="G293" s="37"/>
      <c r="H293" s="118"/>
      <c r="I293" s="32"/>
      <c r="J293" s="33"/>
      <c r="K293" s="33"/>
      <c r="L293" s="33"/>
      <c r="M293" s="34"/>
      <c r="N293" s="132"/>
      <c r="O293" s="122"/>
    </row>
    <row r="294" spans="4:15" ht="12.75">
      <c r="D294" s="18"/>
      <c r="E294" s="18"/>
      <c r="F294" s="13"/>
      <c r="G294" s="37"/>
      <c r="H294" s="120"/>
      <c r="I294" s="32"/>
      <c r="J294" s="33"/>
      <c r="K294" s="33"/>
      <c r="L294" s="33"/>
      <c r="M294" s="44"/>
      <c r="N294" s="134"/>
      <c r="O294" s="139"/>
    </row>
    <row r="295" spans="4:5" ht="12.75">
      <c r="D295" s="18"/>
      <c r="E295" s="18"/>
    </row>
    <row r="296" spans="4:5" ht="12.75">
      <c r="D296" s="18"/>
      <c r="E296" s="18"/>
    </row>
    <row r="297" spans="4:5" ht="12.75">
      <c r="D297" s="18"/>
      <c r="E297" s="18"/>
    </row>
    <row r="298" spans="4:5" ht="12.75">
      <c r="D298" s="18"/>
      <c r="E298" s="18"/>
    </row>
    <row r="299" spans="4:5" ht="12.75">
      <c r="D299" s="18"/>
      <c r="E299" s="18"/>
    </row>
    <row r="300" spans="4:5" ht="12.75">
      <c r="D300" s="18"/>
      <c r="E300" s="18"/>
    </row>
    <row r="301" spans="4:15" ht="12.75">
      <c r="D301" s="18"/>
      <c r="E301" s="18"/>
      <c r="F301" s="35"/>
      <c r="G301" s="35"/>
      <c r="H301" s="118"/>
      <c r="I301" s="32"/>
      <c r="J301" s="33"/>
      <c r="K301" s="48"/>
      <c r="L301" s="48"/>
      <c r="M301" s="49"/>
      <c r="N301" s="135"/>
      <c r="O301" s="123"/>
    </row>
    <row r="302" spans="6:15" ht="12.75">
      <c r="F302" s="35"/>
      <c r="G302" s="35"/>
      <c r="H302" s="118"/>
      <c r="I302" s="32"/>
      <c r="J302" s="33"/>
      <c r="K302" s="48"/>
      <c r="L302" s="48"/>
      <c r="M302" s="49"/>
      <c r="N302" s="135"/>
      <c r="O302" s="123"/>
    </row>
    <row r="303" spans="6:15" ht="12.75">
      <c r="F303" s="35"/>
      <c r="G303" s="35"/>
      <c r="H303" s="118"/>
      <c r="I303" s="32"/>
      <c r="J303" s="33"/>
      <c r="K303" s="48"/>
      <c r="L303" s="48"/>
      <c r="M303" s="49"/>
      <c r="N303" s="135"/>
      <c r="O303" s="123"/>
    </row>
    <row r="304" spans="6:15" ht="12.75">
      <c r="F304" s="35"/>
      <c r="G304" s="35"/>
      <c r="H304" s="118"/>
      <c r="I304" s="32"/>
      <c r="J304" s="33"/>
      <c r="K304" s="48"/>
      <c r="L304" s="48"/>
      <c r="M304" s="49"/>
      <c r="N304" s="135"/>
      <c r="O304" s="123"/>
    </row>
    <row r="305" spans="6:15" ht="12.75">
      <c r="F305" s="35"/>
      <c r="G305" s="35"/>
      <c r="H305" s="118"/>
      <c r="I305" s="32"/>
      <c r="J305" s="33"/>
      <c r="K305" s="48"/>
      <c r="L305" s="48"/>
      <c r="M305" s="49"/>
      <c r="N305" s="135"/>
      <c r="O305" s="123"/>
    </row>
    <row r="306" spans="6:15" ht="12.75">
      <c r="F306" s="35"/>
      <c r="G306" s="35"/>
      <c r="H306" s="118"/>
      <c r="I306" s="32"/>
      <c r="J306" s="33"/>
      <c r="K306" s="48"/>
      <c r="L306" s="48"/>
      <c r="M306" s="49"/>
      <c r="N306" s="135"/>
      <c r="O306" s="123"/>
    </row>
    <row r="307" spans="6:15" ht="12.75">
      <c r="F307" s="35"/>
      <c r="G307" s="35"/>
      <c r="H307" s="118"/>
      <c r="I307" s="32"/>
      <c r="J307" s="33"/>
      <c r="K307" s="48"/>
      <c r="L307" s="48"/>
      <c r="M307" s="49"/>
      <c r="N307" s="135"/>
      <c r="O307" s="123"/>
    </row>
    <row r="308" spans="6:15" ht="12.75">
      <c r="F308" s="35"/>
      <c r="G308" s="35"/>
      <c r="H308" s="118"/>
      <c r="I308" s="32"/>
      <c r="J308" s="33"/>
      <c r="K308" s="48"/>
      <c r="L308" s="48"/>
      <c r="M308" s="49"/>
      <c r="N308" s="135"/>
      <c r="O308" s="123"/>
    </row>
    <row r="309" spans="6:15" ht="12.75">
      <c r="F309" s="35"/>
      <c r="G309" s="35"/>
      <c r="H309" s="118"/>
      <c r="I309" s="32"/>
      <c r="J309" s="33"/>
      <c r="K309" s="48"/>
      <c r="L309" s="48"/>
      <c r="M309" s="49"/>
      <c r="N309" s="135"/>
      <c r="O309" s="123"/>
    </row>
    <row r="310" spans="6:15" ht="12.75">
      <c r="F310" s="35"/>
      <c r="G310" s="35"/>
      <c r="H310" s="118"/>
      <c r="I310" s="32"/>
      <c r="J310" s="33"/>
      <c r="K310" s="48"/>
      <c r="L310" s="48"/>
      <c r="M310" s="49"/>
      <c r="N310" s="135"/>
      <c r="O310" s="123"/>
    </row>
    <row r="311" spans="6:15" ht="12.75">
      <c r="F311" s="35"/>
      <c r="G311" s="35"/>
      <c r="H311" s="118"/>
      <c r="I311" s="32"/>
      <c r="J311" s="33"/>
      <c r="K311" s="48"/>
      <c r="L311" s="48"/>
      <c r="M311" s="49"/>
      <c r="N311" s="135"/>
      <c r="O311" s="123"/>
    </row>
    <row r="312" spans="6:15" ht="12.75">
      <c r="F312" s="35"/>
      <c r="G312" s="35"/>
      <c r="H312" s="118"/>
      <c r="I312" s="32"/>
      <c r="J312" s="33"/>
      <c r="K312" s="48"/>
      <c r="L312" s="48"/>
      <c r="M312" s="49"/>
      <c r="N312" s="135"/>
      <c r="O312" s="123"/>
    </row>
    <row r="313" spans="6:15" ht="12.75">
      <c r="F313" s="35"/>
      <c r="G313" s="35"/>
      <c r="H313" s="118"/>
      <c r="I313" s="32"/>
      <c r="J313" s="33"/>
      <c r="K313" s="48"/>
      <c r="L313" s="48"/>
      <c r="M313" s="49"/>
      <c r="N313" s="135"/>
      <c r="O313" s="123"/>
    </row>
    <row r="314" spans="6:15" ht="12.75">
      <c r="F314" s="35"/>
      <c r="G314" s="35"/>
      <c r="H314" s="118"/>
      <c r="I314" s="32"/>
      <c r="J314" s="33"/>
      <c r="K314" s="48"/>
      <c r="L314" s="48"/>
      <c r="M314" s="49"/>
      <c r="N314" s="135"/>
      <c r="O314" s="123"/>
    </row>
    <row r="315" spans="6:15" ht="12.75">
      <c r="F315" s="35"/>
      <c r="G315" s="35"/>
      <c r="H315" s="118"/>
      <c r="I315" s="32"/>
      <c r="J315" s="33"/>
      <c r="K315" s="48"/>
      <c r="L315" s="48"/>
      <c r="M315" s="49"/>
      <c r="N315" s="135"/>
      <c r="O315" s="123"/>
    </row>
    <row r="316" spans="6:15" ht="12.75">
      <c r="F316" s="35"/>
      <c r="G316" s="35"/>
      <c r="H316" s="118"/>
      <c r="I316" s="32"/>
      <c r="J316" s="33"/>
      <c r="K316" s="48"/>
      <c r="L316" s="48"/>
      <c r="M316" s="49"/>
      <c r="N316" s="135"/>
      <c r="O316" s="123"/>
    </row>
    <row r="317" spans="6:15" ht="12.75">
      <c r="F317" s="35"/>
      <c r="G317" s="35"/>
      <c r="H317" s="118"/>
      <c r="I317" s="32"/>
      <c r="J317" s="33"/>
      <c r="K317" s="48"/>
      <c r="L317" s="48"/>
      <c r="M317" s="49"/>
      <c r="N317" s="135"/>
      <c r="O317" s="123"/>
    </row>
    <row r="318" spans="6:15" ht="12.75">
      <c r="F318" s="35"/>
      <c r="G318" s="35"/>
      <c r="H318" s="118"/>
      <c r="I318" s="32"/>
      <c r="J318" s="33"/>
      <c r="K318" s="48"/>
      <c r="L318" s="48"/>
      <c r="M318" s="49"/>
      <c r="N318" s="135"/>
      <c r="O318" s="123"/>
    </row>
    <row r="319" spans="6:15" ht="12.75">
      <c r="F319" s="35"/>
      <c r="G319" s="35"/>
      <c r="H319" s="118"/>
      <c r="I319" s="32"/>
      <c r="J319" s="33"/>
      <c r="K319" s="48"/>
      <c r="L319" s="48"/>
      <c r="M319" s="49"/>
      <c r="N319" s="135"/>
      <c r="O319" s="123"/>
    </row>
    <row r="320" spans="6:15" ht="12.75">
      <c r="F320" s="35"/>
      <c r="G320" s="35"/>
      <c r="H320" s="118"/>
      <c r="I320" s="32"/>
      <c r="J320" s="33"/>
      <c r="K320" s="48"/>
      <c r="L320" s="48"/>
      <c r="M320" s="49"/>
      <c r="N320" s="135"/>
      <c r="O320" s="123"/>
    </row>
    <row r="321" spans="6:15" ht="12.75">
      <c r="F321" s="35"/>
      <c r="G321" s="35"/>
      <c r="H321" s="118"/>
      <c r="I321" s="32"/>
      <c r="J321" s="33"/>
      <c r="K321" s="48"/>
      <c r="L321" s="48"/>
      <c r="M321" s="49"/>
      <c r="N321" s="135"/>
      <c r="O321" s="123"/>
    </row>
    <row r="322" spans="6:15" ht="12.75">
      <c r="F322" s="35"/>
      <c r="G322" s="35"/>
      <c r="H322" s="118"/>
      <c r="I322" s="32"/>
      <c r="J322" s="33"/>
      <c r="K322" s="48"/>
      <c r="L322" s="48"/>
      <c r="M322" s="49"/>
      <c r="N322" s="135"/>
      <c r="O322" s="123"/>
    </row>
    <row r="323" spans="6:15" ht="12.75">
      <c r="F323" s="35"/>
      <c r="G323" s="35"/>
      <c r="H323" s="118"/>
      <c r="I323" s="32"/>
      <c r="J323" s="33"/>
      <c r="K323" s="48"/>
      <c r="L323" s="48"/>
      <c r="M323" s="49"/>
      <c r="N323" s="135"/>
      <c r="O323" s="123"/>
    </row>
    <row r="324" spans="6:15" ht="12.75">
      <c r="F324" s="35"/>
      <c r="G324" s="35"/>
      <c r="H324" s="118"/>
      <c r="I324" s="32"/>
      <c r="J324" s="33"/>
      <c r="K324" s="48"/>
      <c r="L324" s="48"/>
      <c r="M324" s="49"/>
      <c r="N324" s="135"/>
      <c r="O324" s="123"/>
    </row>
    <row r="325" spans="6:15" ht="12.75">
      <c r="F325" s="35"/>
      <c r="G325" s="35"/>
      <c r="H325" s="118"/>
      <c r="I325" s="32"/>
      <c r="J325" s="33"/>
      <c r="K325" s="48"/>
      <c r="L325" s="48"/>
      <c r="M325" s="49"/>
      <c r="N325" s="135"/>
      <c r="O325" s="123"/>
    </row>
    <row r="326" spans="6:15" ht="12.75">
      <c r="F326" s="35"/>
      <c r="G326" s="35"/>
      <c r="H326" s="118"/>
      <c r="I326" s="32"/>
      <c r="J326" s="33"/>
      <c r="K326" s="48"/>
      <c r="L326" s="48"/>
      <c r="M326" s="49"/>
      <c r="N326" s="135"/>
      <c r="O326" s="123"/>
    </row>
    <row r="327" spans="6:15" ht="12.75">
      <c r="F327" s="50"/>
      <c r="G327" s="50"/>
      <c r="H327" s="124"/>
      <c r="I327" s="51"/>
      <c r="J327" s="48"/>
      <c r="K327" s="48"/>
      <c r="L327" s="48"/>
      <c r="M327" s="49"/>
      <c r="N327" s="135"/>
      <c r="O327" s="123"/>
    </row>
    <row r="328" spans="6:15" ht="12.75">
      <c r="F328" s="50"/>
      <c r="G328" s="50"/>
      <c r="H328" s="124"/>
      <c r="I328" s="51"/>
      <c r="J328" s="48"/>
      <c r="K328" s="48"/>
      <c r="L328" s="48"/>
      <c r="M328" s="49"/>
      <c r="N328" s="135"/>
      <c r="O328" s="123"/>
    </row>
    <row r="329" spans="6:15" ht="12.75">
      <c r="F329" s="50"/>
      <c r="G329" s="50"/>
      <c r="H329" s="124"/>
      <c r="I329" s="51"/>
      <c r="J329" s="48"/>
      <c r="K329" s="48"/>
      <c r="L329" s="48"/>
      <c r="M329" s="49"/>
      <c r="N329" s="135"/>
      <c r="O329" s="123"/>
    </row>
    <row r="330" spans="6:15" ht="12.75">
      <c r="F330" s="50"/>
      <c r="G330" s="50"/>
      <c r="H330" s="124"/>
      <c r="I330" s="51"/>
      <c r="J330" s="48"/>
      <c r="K330" s="48"/>
      <c r="L330" s="48"/>
      <c r="M330" s="49"/>
      <c r="N330" s="135"/>
      <c r="O330" s="123"/>
    </row>
    <row r="331" spans="6:15" ht="12.75">
      <c r="F331" s="50"/>
      <c r="G331" s="50"/>
      <c r="H331" s="124"/>
      <c r="I331" s="51"/>
      <c r="J331" s="48"/>
      <c r="K331" s="48"/>
      <c r="L331" s="48"/>
      <c r="M331" s="49"/>
      <c r="N331" s="135"/>
      <c r="O331" s="123"/>
    </row>
    <row r="332" spans="6:15" ht="12.75">
      <c r="F332" s="50"/>
      <c r="G332" s="50"/>
      <c r="H332" s="124"/>
      <c r="I332" s="51"/>
      <c r="J332" s="48"/>
      <c r="K332" s="48"/>
      <c r="L332" s="48"/>
      <c r="M332" s="49"/>
      <c r="N332" s="135"/>
      <c r="O332" s="123"/>
    </row>
    <row r="333" spans="6:15" ht="12.75">
      <c r="F333" s="50"/>
      <c r="G333" s="50"/>
      <c r="H333" s="124"/>
      <c r="I333" s="51"/>
      <c r="J333" s="48"/>
      <c r="K333" s="48"/>
      <c r="L333" s="48"/>
      <c r="M333" s="49"/>
      <c r="N333" s="135"/>
      <c r="O333" s="123"/>
    </row>
    <row r="334" spans="6:15" ht="12.75">
      <c r="F334" s="50"/>
      <c r="G334" s="50"/>
      <c r="H334" s="124"/>
      <c r="I334" s="51"/>
      <c r="J334" s="48"/>
      <c r="K334" s="48"/>
      <c r="L334" s="48"/>
      <c r="M334" s="49"/>
      <c r="N334" s="135"/>
      <c r="O334" s="123"/>
    </row>
    <row r="335" spans="6:15" ht="12.75">
      <c r="F335" s="50"/>
      <c r="G335" s="50"/>
      <c r="H335" s="124"/>
      <c r="I335" s="51"/>
      <c r="J335" s="48"/>
      <c r="K335" s="48"/>
      <c r="L335" s="48"/>
      <c r="M335" s="49"/>
      <c r="N335" s="135"/>
      <c r="O335" s="123"/>
    </row>
    <row r="336" spans="6:15" ht="12.75">
      <c r="F336" s="50"/>
      <c r="G336" s="50"/>
      <c r="H336" s="124"/>
      <c r="I336" s="51"/>
      <c r="J336" s="48"/>
      <c r="K336" s="48"/>
      <c r="L336" s="48"/>
      <c r="M336" s="49"/>
      <c r="N336" s="135"/>
      <c r="O336" s="123"/>
    </row>
    <row r="337" spans="6:15" ht="12.75">
      <c r="F337" s="50"/>
      <c r="G337" s="50"/>
      <c r="H337" s="124"/>
      <c r="I337" s="51"/>
      <c r="J337" s="48"/>
      <c r="K337" s="48"/>
      <c r="L337" s="48"/>
      <c r="M337" s="49"/>
      <c r="N337" s="135"/>
      <c r="O337" s="123"/>
    </row>
    <row r="338" spans="6:15" ht="12.75">
      <c r="F338" s="50"/>
      <c r="G338" s="50"/>
      <c r="H338" s="124"/>
      <c r="I338" s="51"/>
      <c r="J338" s="48"/>
      <c r="K338" s="48"/>
      <c r="L338" s="48"/>
      <c r="M338" s="49"/>
      <c r="N338" s="135"/>
      <c r="O338" s="123"/>
    </row>
    <row r="339" spans="6:15" ht="12.75">
      <c r="F339" s="50"/>
      <c r="G339" s="50"/>
      <c r="H339" s="124"/>
      <c r="I339" s="51"/>
      <c r="J339" s="48"/>
      <c r="K339" s="48"/>
      <c r="L339" s="48"/>
      <c r="M339" s="49"/>
      <c r="N339" s="135"/>
      <c r="O339" s="123"/>
    </row>
    <row r="340" spans="6:15" ht="12.75">
      <c r="F340" s="50"/>
      <c r="G340" s="50"/>
      <c r="H340" s="124"/>
      <c r="I340" s="51"/>
      <c r="J340" s="48"/>
      <c r="K340" s="48"/>
      <c r="L340" s="48"/>
      <c r="M340" s="49"/>
      <c r="N340" s="135"/>
      <c r="O340" s="123"/>
    </row>
    <row r="341" spans="6:15" ht="12.75">
      <c r="F341" s="50"/>
      <c r="G341" s="50"/>
      <c r="H341" s="124"/>
      <c r="I341" s="51"/>
      <c r="J341" s="48"/>
      <c r="K341" s="48"/>
      <c r="L341" s="48"/>
      <c r="M341" s="49"/>
      <c r="N341" s="135"/>
      <c r="O341" s="123"/>
    </row>
    <row r="342" spans="6:15" ht="12.75">
      <c r="F342" s="50"/>
      <c r="G342" s="50"/>
      <c r="H342" s="124"/>
      <c r="I342" s="51"/>
      <c r="J342" s="48"/>
      <c r="K342" s="48"/>
      <c r="L342" s="48"/>
      <c r="M342" s="49"/>
      <c r="N342" s="135"/>
      <c r="O342" s="123"/>
    </row>
    <row r="343" spans="6:15" ht="12.75">
      <c r="F343" s="50"/>
      <c r="G343" s="50"/>
      <c r="H343" s="124"/>
      <c r="I343" s="51"/>
      <c r="J343" s="48"/>
      <c r="K343" s="48"/>
      <c r="L343" s="48"/>
      <c r="M343" s="49"/>
      <c r="N343" s="135"/>
      <c r="O343" s="123"/>
    </row>
    <row r="344" spans="6:15" ht="12.75">
      <c r="F344" s="50"/>
      <c r="G344" s="50"/>
      <c r="H344" s="124"/>
      <c r="I344" s="51"/>
      <c r="J344" s="48"/>
      <c r="K344" s="48"/>
      <c r="L344" s="48"/>
      <c r="M344" s="49"/>
      <c r="N344" s="135"/>
      <c r="O344" s="123"/>
    </row>
    <row r="345" spans="6:15" ht="12.75">
      <c r="F345" s="50"/>
      <c r="G345" s="50"/>
      <c r="H345" s="124"/>
      <c r="I345" s="51"/>
      <c r="J345" s="48"/>
      <c r="K345" s="48"/>
      <c r="L345" s="48"/>
      <c r="M345" s="49"/>
      <c r="N345" s="135"/>
      <c r="O345" s="123"/>
    </row>
    <row r="346" spans="6:15" ht="12.75">
      <c r="F346" s="50"/>
      <c r="G346" s="50"/>
      <c r="H346" s="124"/>
      <c r="I346" s="51"/>
      <c r="J346" s="48"/>
      <c r="K346" s="48"/>
      <c r="L346" s="48"/>
      <c r="M346" s="49"/>
      <c r="N346" s="135"/>
      <c r="O346" s="123"/>
    </row>
    <row r="347" spans="6:15" ht="12.75">
      <c r="F347" s="50"/>
      <c r="G347" s="50"/>
      <c r="H347" s="124"/>
      <c r="I347" s="51"/>
      <c r="J347" s="48"/>
      <c r="K347" s="48"/>
      <c r="L347" s="48"/>
      <c r="M347" s="49"/>
      <c r="N347" s="135"/>
      <c r="O347" s="123"/>
    </row>
    <row r="348" spans="6:15" ht="12.75">
      <c r="F348" s="50"/>
      <c r="G348" s="50"/>
      <c r="H348" s="124"/>
      <c r="I348" s="51"/>
      <c r="J348" s="48"/>
      <c r="K348" s="48"/>
      <c r="L348" s="48"/>
      <c r="M348" s="49"/>
      <c r="N348" s="135"/>
      <c r="O348" s="123"/>
    </row>
    <row r="349" spans="6:15" ht="12.75">
      <c r="F349" s="50"/>
      <c r="G349" s="50"/>
      <c r="H349" s="124"/>
      <c r="I349" s="51"/>
      <c r="J349" s="48"/>
      <c r="K349" s="48"/>
      <c r="L349" s="48"/>
      <c r="M349" s="49"/>
      <c r="N349" s="135"/>
      <c r="O349" s="123"/>
    </row>
    <row r="350" spans="6:15" ht="12.75">
      <c r="F350" s="50"/>
      <c r="G350" s="50"/>
      <c r="H350" s="124"/>
      <c r="I350" s="51"/>
      <c r="J350" s="48"/>
      <c r="K350" s="48"/>
      <c r="L350" s="48"/>
      <c r="M350" s="49"/>
      <c r="N350" s="135"/>
      <c r="O350" s="123"/>
    </row>
    <row r="351" spans="6:15" ht="12.75">
      <c r="F351" s="50"/>
      <c r="G351" s="50"/>
      <c r="H351" s="124"/>
      <c r="I351" s="51"/>
      <c r="J351" s="48"/>
      <c r="K351" s="48"/>
      <c r="L351" s="48"/>
      <c r="M351" s="49"/>
      <c r="N351" s="135"/>
      <c r="O351" s="123"/>
    </row>
    <row r="352" spans="6:15" ht="12.75">
      <c r="F352" s="50"/>
      <c r="G352" s="50"/>
      <c r="H352" s="124"/>
      <c r="I352" s="51"/>
      <c r="J352" s="48"/>
      <c r="K352" s="48"/>
      <c r="L352" s="48"/>
      <c r="M352" s="49"/>
      <c r="N352" s="135"/>
      <c r="O352" s="123"/>
    </row>
    <row r="353" spans="6:15" ht="12.75">
      <c r="F353" s="50"/>
      <c r="G353" s="50"/>
      <c r="H353" s="124"/>
      <c r="I353" s="51"/>
      <c r="J353" s="48"/>
      <c r="K353" s="48"/>
      <c r="L353" s="48"/>
      <c r="M353" s="49"/>
      <c r="N353" s="135"/>
      <c r="O353" s="123"/>
    </row>
    <row r="354" spans="6:15" ht="12.75">
      <c r="F354" s="50"/>
      <c r="G354" s="50"/>
      <c r="H354" s="124"/>
      <c r="I354" s="51"/>
      <c r="J354" s="48"/>
      <c r="K354" s="48"/>
      <c r="L354" s="48"/>
      <c r="M354" s="49"/>
      <c r="N354" s="135"/>
      <c r="O354" s="123"/>
    </row>
    <row r="355" spans="6:15" ht="12.75">
      <c r="F355" s="50"/>
      <c r="G355" s="50"/>
      <c r="H355" s="124"/>
      <c r="I355" s="51"/>
      <c r="J355" s="48"/>
      <c r="K355" s="48"/>
      <c r="L355" s="48"/>
      <c r="M355" s="49"/>
      <c r="N355" s="135"/>
      <c r="O355" s="123"/>
    </row>
    <row r="356" spans="6:15" ht="12.75">
      <c r="F356" s="50"/>
      <c r="G356" s="50"/>
      <c r="H356" s="124"/>
      <c r="I356" s="51"/>
      <c r="J356" s="48"/>
      <c r="K356" s="48"/>
      <c r="L356" s="48"/>
      <c r="M356" s="49"/>
      <c r="N356" s="135"/>
      <c r="O356" s="123"/>
    </row>
    <row r="357" spans="6:15" ht="12.75">
      <c r="F357" s="50"/>
      <c r="G357" s="50"/>
      <c r="H357" s="124"/>
      <c r="I357" s="51"/>
      <c r="J357" s="48"/>
      <c r="K357" s="48"/>
      <c r="L357" s="48"/>
      <c r="M357" s="49"/>
      <c r="N357" s="135"/>
      <c r="O357" s="123"/>
    </row>
    <row r="358" spans="6:15" ht="12.75">
      <c r="F358" s="50"/>
      <c r="G358" s="50"/>
      <c r="H358" s="124"/>
      <c r="I358" s="51"/>
      <c r="J358" s="48"/>
      <c r="K358" s="48"/>
      <c r="L358" s="48"/>
      <c r="M358" s="49"/>
      <c r="N358" s="135"/>
      <c r="O358" s="123"/>
    </row>
    <row r="359" spans="6:15" ht="12.75">
      <c r="F359" s="50"/>
      <c r="G359" s="50"/>
      <c r="H359" s="124"/>
      <c r="I359" s="51"/>
      <c r="J359" s="48"/>
      <c r="K359" s="48"/>
      <c r="L359" s="48"/>
      <c r="M359" s="49"/>
      <c r="N359" s="135"/>
      <c r="O359" s="123"/>
    </row>
    <row r="360" spans="6:15" ht="12.75">
      <c r="F360" s="50"/>
      <c r="G360" s="50"/>
      <c r="H360" s="124"/>
      <c r="I360" s="51"/>
      <c r="J360" s="48"/>
      <c r="K360" s="48"/>
      <c r="L360" s="48"/>
      <c r="M360" s="49"/>
      <c r="N360" s="135"/>
      <c r="O360" s="123"/>
    </row>
    <row r="361" spans="6:15" ht="12.75">
      <c r="F361" s="50"/>
      <c r="G361" s="50"/>
      <c r="H361" s="124"/>
      <c r="I361" s="51"/>
      <c r="J361" s="48"/>
      <c r="K361" s="48"/>
      <c r="L361" s="48"/>
      <c r="M361" s="49"/>
      <c r="N361" s="135"/>
      <c r="O361" s="123"/>
    </row>
  </sheetData>
  <sheetProtection/>
  <mergeCells count="119">
    <mergeCell ref="C3:E3"/>
    <mergeCell ref="I53:I54"/>
    <mergeCell ref="F3:M3"/>
    <mergeCell ref="A7:O7"/>
    <mergeCell ref="O4:O6"/>
    <mergeCell ref="K63:K64"/>
    <mergeCell ref="N3:O3"/>
    <mergeCell ref="L4:M4"/>
    <mergeCell ref="O53:O54"/>
    <mergeCell ref="A61:A62"/>
    <mergeCell ref="F1:O1"/>
    <mergeCell ref="J63:J64"/>
    <mergeCell ref="L63:L64"/>
    <mergeCell ref="G53:G54"/>
    <mergeCell ref="I59:I60"/>
    <mergeCell ref="F2:O2"/>
    <mergeCell ref="K4:K6"/>
    <mergeCell ref="L5:M5"/>
    <mergeCell ref="A172:O172"/>
    <mergeCell ref="K166:K167"/>
    <mergeCell ref="J166:J167"/>
    <mergeCell ref="I166:I167"/>
    <mergeCell ref="B61:B62"/>
    <mergeCell ref="O61:O62"/>
    <mergeCell ref="J61:J62"/>
    <mergeCell ref="N61:N62"/>
    <mergeCell ref="L61:L62"/>
    <mergeCell ref="O166:O167"/>
    <mergeCell ref="F201:O202"/>
    <mergeCell ref="A199:O199"/>
    <mergeCell ref="A176:O176"/>
    <mergeCell ref="A198:O198"/>
    <mergeCell ref="A164:A165"/>
    <mergeCell ref="K59:K60"/>
    <mergeCell ref="N59:N60"/>
    <mergeCell ref="O59:O60"/>
    <mergeCell ref="O63:O64"/>
    <mergeCell ref="E166:E167"/>
    <mergeCell ref="A166:A167"/>
    <mergeCell ref="C166:C167"/>
    <mergeCell ref="O164:O165"/>
    <mergeCell ref="N164:N165"/>
    <mergeCell ref="B109:E109"/>
    <mergeCell ref="C164:C165"/>
    <mergeCell ref="D164:D165"/>
    <mergeCell ref="N166:N167"/>
    <mergeCell ref="K164:K165"/>
    <mergeCell ref="A197:O197"/>
    <mergeCell ref="A169:O169"/>
    <mergeCell ref="E164:E165"/>
    <mergeCell ref="F164:F165"/>
    <mergeCell ref="I164:I165"/>
    <mergeCell ref="G164:G165"/>
    <mergeCell ref="F166:F167"/>
    <mergeCell ref="G166:G167"/>
    <mergeCell ref="J164:J165"/>
    <mergeCell ref="H164:H165"/>
    <mergeCell ref="A4:A6"/>
    <mergeCell ref="F63:F64"/>
    <mergeCell ref="G63:G64"/>
    <mergeCell ref="D63:D64"/>
    <mergeCell ref="A63:A64"/>
    <mergeCell ref="C61:C62"/>
    <mergeCell ref="G61:G62"/>
    <mergeCell ref="A53:A54"/>
    <mergeCell ref="B53:B54"/>
    <mergeCell ref="A59:A60"/>
    <mergeCell ref="B4:B6"/>
    <mergeCell ref="H4:H5"/>
    <mergeCell ref="H59:H60"/>
    <mergeCell ref="E59:E60"/>
    <mergeCell ref="G59:G60"/>
    <mergeCell ref="B59:B60"/>
    <mergeCell ref="C53:C54"/>
    <mergeCell ref="I4:I6"/>
    <mergeCell ref="F59:F60"/>
    <mergeCell ref="D4:E6"/>
    <mergeCell ref="D53:D54"/>
    <mergeCell ref="C4:C6"/>
    <mergeCell ref="G4:G6"/>
    <mergeCell ref="J59:J60"/>
    <mergeCell ref="A37:O37"/>
    <mergeCell ref="K53:K54"/>
    <mergeCell ref="A33:O33"/>
    <mergeCell ref="J53:J54"/>
    <mergeCell ref="E61:E62"/>
    <mergeCell ref="C59:C60"/>
    <mergeCell ref="D59:D60"/>
    <mergeCell ref="H53:H54"/>
    <mergeCell ref="F4:F6"/>
    <mergeCell ref="F53:F54"/>
    <mergeCell ref="E53:E54"/>
    <mergeCell ref="N53:N54"/>
    <mergeCell ref="N4:N6"/>
    <mergeCell ref="M61:M62"/>
    <mergeCell ref="I61:I62"/>
    <mergeCell ref="J4:J6"/>
    <mergeCell ref="L59:L60"/>
    <mergeCell ref="M59:M60"/>
    <mergeCell ref="H166:H167"/>
    <mergeCell ref="I63:I64"/>
    <mergeCell ref="E63:E64"/>
    <mergeCell ref="A151:O151"/>
    <mergeCell ref="A134:O134"/>
    <mergeCell ref="D61:D62"/>
    <mergeCell ref="H61:H62"/>
    <mergeCell ref="H63:H64"/>
    <mergeCell ref="N63:N64"/>
    <mergeCell ref="K61:K62"/>
    <mergeCell ref="A163:O163"/>
    <mergeCell ref="A81:O81"/>
    <mergeCell ref="B164:B165"/>
    <mergeCell ref="B166:B167"/>
    <mergeCell ref="F61:F62"/>
    <mergeCell ref="D166:D167"/>
    <mergeCell ref="B63:B64"/>
    <mergeCell ref="C63:C64"/>
    <mergeCell ref="A95:O95"/>
    <mergeCell ref="M63:M64"/>
  </mergeCells>
  <printOptions verticalCentered="1"/>
  <pageMargins left="0.1968503937007874" right="0.03937007874015748" top="0.07874015748031496" bottom="0.1968503937007874" header="0.07874015748031496" footer="0.31496062992125984"/>
  <pageSetup fitToHeight="4" fitToWidth="1" horizontalDpi="600" verticalDpi="600" orientation="portrait" paperSize="9" scale="51" r:id="rId2"/>
  <ignoredErrors>
    <ignoredError sqref="O18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zoomScalePageLayoutView="0" workbookViewId="0" topLeftCell="A42">
      <selection activeCell="M71" sqref="M71"/>
    </sheetView>
  </sheetViews>
  <sheetFormatPr defaultColWidth="9.140625" defaultRowHeight="12.75"/>
  <cols>
    <col min="1" max="1" width="7.7109375" style="72" customWidth="1"/>
    <col min="2" max="2" width="7.140625" style="72" customWidth="1"/>
    <col min="3" max="3" width="11.28125" style="72" customWidth="1"/>
    <col min="4" max="9" width="9.140625" style="72" customWidth="1"/>
    <col min="10" max="10" width="7.140625" style="72" customWidth="1"/>
    <col min="11" max="11" width="9.140625" style="72" customWidth="1"/>
    <col min="12" max="12" width="14.00390625" style="72" customWidth="1"/>
    <col min="13" max="16384" width="9.140625" style="72" customWidth="1"/>
  </cols>
  <sheetData>
    <row r="1" spans="2:12" ht="14.25">
      <c r="B1" s="74"/>
      <c r="C1" s="220" t="s">
        <v>633</v>
      </c>
      <c r="D1" s="220"/>
      <c r="E1" s="220"/>
      <c r="F1" s="220"/>
      <c r="G1" s="220"/>
      <c r="H1" s="220"/>
      <c r="I1" s="220"/>
      <c r="J1" s="220"/>
      <c r="K1" s="220"/>
      <c r="L1" s="220"/>
    </row>
    <row r="2" spans="2:12" ht="14.25">
      <c r="B2" s="74"/>
      <c r="C2" s="74"/>
      <c r="D2" s="1"/>
      <c r="E2" s="1"/>
      <c r="F2" s="1"/>
      <c r="G2" s="1"/>
      <c r="H2" s="1"/>
      <c r="I2" s="1"/>
      <c r="J2" s="75"/>
      <c r="K2" s="74"/>
      <c r="L2" s="76" t="s">
        <v>245</v>
      </c>
    </row>
    <row r="3" spans="2:11" ht="15.75">
      <c r="B3" s="77"/>
      <c r="C3" s="77"/>
      <c r="D3" s="225" t="s">
        <v>153</v>
      </c>
      <c r="E3" s="225"/>
      <c r="F3" s="225"/>
      <c r="G3" s="225"/>
      <c r="H3" s="78"/>
      <c r="J3" s="79"/>
      <c r="K3" s="80"/>
    </row>
    <row r="4" ht="12.75"/>
    <row r="5" spans="2:10" ht="12.75">
      <c r="B5" s="81"/>
      <c r="C5" s="82"/>
      <c r="D5" s="82"/>
      <c r="E5" s="82"/>
      <c r="F5" s="82"/>
      <c r="G5" s="82"/>
      <c r="H5" s="82"/>
      <c r="I5" s="82"/>
      <c r="J5" s="83"/>
    </row>
    <row r="6" spans="2:10" ht="15">
      <c r="B6" s="84"/>
      <c r="C6" s="216" t="s">
        <v>401</v>
      </c>
      <c r="D6" s="216"/>
      <c r="E6" s="216"/>
      <c r="F6" s="216"/>
      <c r="G6" s="216"/>
      <c r="H6" s="216"/>
      <c r="I6" s="85"/>
      <c r="J6" s="86"/>
    </row>
    <row r="7" spans="2:10" ht="12.75">
      <c r="B7" s="84"/>
      <c r="C7" s="85"/>
      <c r="D7" s="85"/>
      <c r="E7" s="85"/>
      <c r="F7" s="85"/>
      <c r="G7" s="85"/>
      <c r="H7" s="85"/>
      <c r="I7" s="85"/>
      <c r="J7" s="86"/>
    </row>
    <row r="8" spans="2:10" ht="12.75">
      <c r="B8" s="84"/>
      <c r="C8" s="87" t="s">
        <v>408</v>
      </c>
      <c r="D8" s="87"/>
      <c r="E8" s="87"/>
      <c r="F8" s="87"/>
      <c r="G8" s="87"/>
      <c r="H8" s="87"/>
      <c r="I8" s="87"/>
      <c r="J8" s="86"/>
    </row>
    <row r="9" spans="2:10" ht="12.75" customHeight="1">
      <c r="B9" s="84"/>
      <c r="C9" s="87" t="s">
        <v>402</v>
      </c>
      <c r="D9" s="87"/>
      <c r="E9" s="87"/>
      <c r="F9" s="87"/>
      <c r="G9" s="87"/>
      <c r="H9" s="87"/>
      <c r="I9" s="87"/>
      <c r="J9" s="86"/>
    </row>
    <row r="10" spans="2:10" ht="12.75">
      <c r="B10" s="84"/>
      <c r="C10" s="87" t="s">
        <v>413</v>
      </c>
      <c r="D10" s="87"/>
      <c r="E10" s="87"/>
      <c r="F10" s="87"/>
      <c r="G10" s="87"/>
      <c r="H10" s="87"/>
      <c r="I10" s="87"/>
      <c r="J10" s="86"/>
    </row>
    <row r="11" spans="2:10" ht="12.75">
      <c r="B11" s="84"/>
      <c r="C11" s="87"/>
      <c r="D11" s="87"/>
      <c r="E11" s="87"/>
      <c r="F11" s="87"/>
      <c r="G11" s="87"/>
      <c r="H11" s="87"/>
      <c r="I11" s="87"/>
      <c r="J11" s="86"/>
    </row>
    <row r="12" spans="2:10" ht="39.75" customHeight="1">
      <c r="B12" s="84"/>
      <c r="C12" s="215" t="s">
        <v>416</v>
      </c>
      <c r="D12" s="215"/>
      <c r="E12" s="215"/>
      <c r="F12" s="215"/>
      <c r="G12" s="215"/>
      <c r="H12" s="215"/>
      <c r="I12" s="215"/>
      <c r="J12" s="86"/>
    </row>
    <row r="13" spans="2:10" ht="12.75">
      <c r="B13" s="84"/>
      <c r="C13" s="88"/>
      <c r="D13" s="88"/>
      <c r="E13" s="88"/>
      <c r="F13" s="88"/>
      <c r="G13" s="88"/>
      <c r="H13" s="88"/>
      <c r="I13" s="87"/>
      <c r="J13" s="86"/>
    </row>
    <row r="14" spans="2:10" ht="16.5" customHeight="1">
      <c r="B14" s="84"/>
      <c r="C14" s="71" t="s">
        <v>403</v>
      </c>
      <c r="D14" s="87"/>
      <c r="E14" s="87"/>
      <c r="F14" s="89" t="s">
        <v>636</v>
      </c>
      <c r="G14" s="87"/>
      <c r="H14" s="87"/>
      <c r="I14" s="87"/>
      <c r="J14" s="86"/>
    </row>
    <row r="15" spans="2:10" ht="16.5" customHeight="1">
      <c r="B15" s="84"/>
      <c r="C15" s="71"/>
      <c r="D15" s="87"/>
      <c r="E15" s="87"/>
      <c r="F15" s="89" t="s">
        <v>635</v>
      </c>
      <c r="G15" s="87"/>
      <c r="H15" s="87"/>
      <c r="I15" s="87"/>
      <c r="J15" s="86"/>
    </row>
    <row r="16" spans="2:10" ht="21" customHeight="1">
      <c r="B16" s="84"/>
      <c r="C16" s="87"/>
      <c r="D16" s="87"/>
      <c r="E16" s="87"/>
      <c r="F16" s="89" t="s">
        <v>634</v>
      </c>
      <c r="G16" s="87"/>
      <c r="H16" s="87"/>
      <c r="I16" s="87"/>
      <c r="J16" s="86"/>
    </row>
    <row r="17" spans="2:10" ht="12.75">
      <c r="B17" s="84"/>
      <c r="C17" s="85"/>
      <c r="D17" s="85"/>
      <c r="E17" s="85"/>
      <c r="F17" s="85"/>
      <c r="G17" s="85"/>
      <c r="H17" s="85"/>
      <c r="I17" s="85"/>
      <c r="J17" s="86"/>
    </row>
    <row r="18" spans="2:10" ht="12.75">
      <c r="B18" s="84"/>
      <c r="C18" s="85"/>
      <c r="D18" s="85"/>
      <c r="E18" s="85"/>
      <c r="F18" s="85"/>
      <c r="G18" s="85"/>
      <c r="H18" s="85"/>
      <c r="I18" s="85"/>
      <c r="J18" s="86"/>
    </row>
    <row r="19" spans="2:10" ht="16.5" customHeight="1">
      <c r="B19" s="84"/>
      <c r="C19" s="219" t="s">
        <v>404</v>
      </c>
      <c r="D19" s="219"/>
      <c r="E19" s="87"/>
      <c r="F19" s="71" t="s">
        <v>405</v>
      </c>
      <c r="G19" s="87"/>
      <c r="H19" s="87"/>
      <c r="I19" s="87"/>
      <c r="J19" s="86"/>
    </row>
    <row r="20" spans="2:14" ht="16.5" customHeight="1">
      <c r="B20" s="84"/>
      <c r="C20" s="219"/>
      <c r="D20" s="219"/>
      <c r="E20" s="87"/>
      <c r="F20" s="71" t="s">
        <v>406</v>
      </c>
      <c r="G20" s="87"/>
      <c r="H20" s="87"/>
      <c r="I20" s="87"/>
      <c r="J20" s="86"/>
      <c r="N20" s="85"/>
    </row>
    <row r="21" spans="2:10" ht="12.75">
      <c r="B21" s="84"/>
      <c r="C21" s="87" t="s">
        <v>435</v>
      </c>
      <c r="D21" s="87"/>
      <c r="E21" s="87"/>
      <c r="F21" s="87"/>
      <c r="G21" s="87"/>
      <c r="H21" s="87"/>
      <c r="I21" s="87"/>
      <c r="J21" s="86"/>
    </row>
    <row r="22" spans="2:10" ht="12.75">
      <c r="B22" s="84"/>
      <c r="C22" s="87"/>
      <c r="D22" s="87"/>
      <c r="E22" s="87"/>
      <c r="F22" s="87"/>
      <c r="G22" s="87"/>
      <c r="H22" s="87"/>
      <c r="I22" s="87"/>
      <c r="J22" s="86"/>
    </row>
    <row r="23" spans="2:10" ht="29.25" customHeight="1">
      <c r="B23" s="84"/>
      <c r="C23" s="214" t="s">
        <v>440</v>
      </c>
      <c r="D23" s="214"/>
      <c r="E23" s="214"/>
      <c r="F23" s="214"/>
      <c r="G23" s="214"/>
      <c r="H23" s="214"/>
      <c r="I23" s="87"/>
      <c r="J23" s="86"/>
    </row>
    <row r="24" spans="2:10" ht="12.75">
      <c r="B24" s="90"/>
      <c r="C24" s="91"/>
      <c r="D24" s="91"/>
      <c r="E24" s="91"/>
      <c r="F24" s="91"/>
      <c r="G24" s="91"/>
      <c r="H24" s="91"/>
      <c r="I24" s="91"/>
      <c r="J24" s="92"/>
    </row>
    <row r="25" ht="12.75" customHeight="1">
      <c r="H25" s="93"/>
    </row>
    <row r="26" spans="2:10" ht="12.75">
      <c r="B26" s="81"/>
      <c r="C26" s="82"/>
      <c r="D26" s="82"/>
      <c r="E26" s="82"/>
      <c r="F26" s="82"/>
      <c r="G26" s="82"/>
      <c r="H26" s="82"/>
      <c r="I26" s="82"/>
      <c r="J26" s="83"/>
    </row>
    <row r="27" spans="2:10" ht="15">
      <c r="B27" s="84"/>
      <c r="C27" s="216" t="s">
        <v>407</v>
      </c>
      <c r="D27" s="216"/>
      <c r="E27" s="216"/>
      <c r="F27" s="216"/>
      <c r="G27" s="216"/>
      <c r="H27" s="216"/>
      <c r="I27" s="85"/>
      <c r="J27" s="86"/>
    </row>
    <row r="28" spans="2:10" ht="12.75">
      <c r="B28" s="84"/>
      <c r="C28" s="85"/>
      <c r="D28" s="85"/>
      <c r="E28" s="85"/>
      <c r="F28" s="85"/>
      <c r="G28" s="85"/>
      <c r="H28" s="85"/>
      <c r="I28" s="85"/>
      <c r="J28" s="86"/>
    </row>
    <row r="29" spans="2:10" ht="12.75">
      <c r="B29" s="84"/>
      <c r="C29" s="218" t="s">
        <v>419</v>
      </c>
      <c r="D29" s="218"/>
      <c r="E29" s="218"/>
      <c r="F29" s="218"/>
      <c r="G29" s="218"/>
      <c r="H29" s="218"/>
      <c r="I29" s="218"/>
      <c r="J29" s="94"/>
    </row>
    <row r="30" spans="2:10" ht="12.75" customHeight="1">
      <c r="B30" s="84"/>
      <c r="C30" s="95"/>
      <c r="D30" s="218" t="s">
        <v>410</v>
      </c>
      <c r="E30" s="218"/>
      <c r="F30" s="218"/>
      <c r="G30" s="218"/>
      <c r="H30" s="218"/>
      <c r="I30" s="218"/>
      <c r="J30" s="226"/>
    </row>
    <row r="31" spans="2:10" ht="12.75">
      <c r="B31" s="84"/>
      <c r="C31" s="73" t="s">
        <v>409</v>
      </c>
      <c r="D31" s="73"/>
      <c r="E31" s="73"/>
      <c r="F31" s="73"/>
      <c r="G31" s="73"/>
      <c r="H31" s="73"/>
      <c r="I31" s="73"/>
      <c r="J31" s="94"/>
    </row>
    <row r="32" spans="2:10" ht="12.75">
      <c r="B32" s="84"/>
      <c r="C32" s="73"/>
      <c r="D32" s="73"/>
      <c r="E32" s="73"/>
      <c r="F32" s="73"/>
      <c r="G32" s="73"/>
      <c r="H32" s="73"/>
      <c r="I32" s="73"/>
      <c r="J32" s="94"/>
    </row>
    <row r="33" spans="2:10" ht="24.75" customHeight="1">
      <c r="B33" s="84"/>
      <c r="C33" s="217" t="s">
        <v>415</v>
      </c>
      <c r="D33" s="217"/>
      <c r="E33" s="217"/>
      <c r="F33" s="217"/>
      <c r="G33" s="217"/>
      <c r="H33" s="217"/>
      <c r="I33" s="73"/>
      <c r="J33" s="94"/>
    </row>
    <row r="34" spans="2:10" ht="12.75">
      <c r="B34" s="84"/>
      <c r="C34" s="73"/>
      <c r="D34" s="73"/>
      <c r="E34" s="73"/>
      <c r="F34" s="73"/>
      <c r="G34" s="73"/>
      <c r="H34" s="73"/>
      <c r="I34" s="73"/>
      <c r="J34" s="94"/>
    </row>
    <row r="35" spans="2:10" ht="16.5" customHeight="1">
      <c r="B35" s="84"/>
      <c r="C35" s="96" t="s">
        <v>403</v>
      </c>
      <c r="D35" s="97"/>
      <c r="E35" s="97"/>
      <c r="F35" s="96" t="s">
        <v>406</v>
      </c>
      <c r="G35" s="97"/>
      <c r="H35" s="97"/>
      <c r="I35" s="97"/>
      <c r="J35" s="98"/>
    </row>
    <row r="36" spans="2:10" ht="12.75">
      <c r="B36" s="84"/>
      <c r="C36" s="71" t="s">
        <v>422</v>
      </c>
      <c r="D36" s="97"/>
      <c r="F36" s="96"/>
      <c r="G36" s="97"/>
      <c r="H36" s="97"/>
      <c r="I36" s="97"/>
      <c r="J36" s="98"/>
    </row>
    <row r="37" spans="2:10" ht="12.75">
      <c r="B37" s="84"/>
      <c r="C37" s="97"/>
      <c r="D37" s="97"/>
      <c r="F37" s="96"/>
      <c r="G37" s="97"/>
      <c r="H37" s="97"/>
      <c r="I37" s="97"/>
      <c r="J37" s="98"/>
    </row>
    <row r="38" spans="2:10" ht="16.5" customHeight="1">
      <c r="B38" s="84"/>
      <c r="C38" s="227" t="s">
        <v>404</v>
      </c>
      <c r="D38" s="227"/>
      <c r="E38" s="97"/>
      <c r="F38" s="89" t="s">
        <v>636</v>
      </c>
      <c r="G38" s="97"/>
      <c r="H38" s="97"/>
      <c r="I38" s="97"/>
      <c r="J38" s="98"/>
    </row>
    <row r="39" spans="2:10" ht="16.5" customHeight="1">
      <c r="B39" s="84"/>
      <c r="C39" s="227"/>
      <c r="D39" s="227"/>
      <c r="E39" s="97"/>
      <c r="F39" s="97"/>
      <c r="G39" s="97"/>
      <c r="H39" s="97"/>
      <c r="I39" s="97"/>
      <c r="J39" s="98"/>
    </row>
    <row r="40" spans="2:10" ht="16.5" customHeight="1">
      <c r="B40" s="84"/>
      <c r="C40" s="97" t="s">
        <v>213</v>
      </c>
      <c r="D40" s="97"/>
      <c r="E40" s="97"/>
      <c r="F40" s="89" t="s">
        <v>635</v>
      </c>
      <c r="G40" s="97"/>
      <c r="H40" s="97"/>
      <c r="I40" s="97"/>
      <c r="J40" s="98"/>
    </row>
    <row r="41" spans="2:10" ht="21" customHeight="1">
      <c r="B41" s="84"/>
      <c r="C41" s="87"/>
      <c r="D41" s="87"/>
      <c r="E41" s="87"/>
      <c r="F41" s="89" t="s">
        <v>634</v>
      </c>
      <c r="G41" s="87"/>
      <c r="H41" s="87"/>
      <c r="I41" s="87"/>
      <c r="J41" s="86"/>
    </row>
    <row r="42" spans="2:10" ht="12.75">
      <c r="B42" s="84"/>
      <c r="C42" s="97"/>
      <c r="D42" s="97"/>
      <c r="E42" s="97"/>
      <c r="F42" s="96"/>
      <c r="G42" s="97"/>
      <c r="H42" s="97"/>
      <c r="I42" s="97"/>
      <c r="J42" s="98"/>
    </row>
    <row r="43" spans="2:10" ht="24" customHeight="1">
      <c r="B43" s="84"/>
      <c r="C43" s="221" t="s">
        <v>440</v>
      </c>
      <c r="D43" s="221"/>
      <c r="E43" s="221"/>
      <c r="F43" s="221"/>
      <c r="G43" s="221"/>
      <c r="H43" s="221"/>
      <c r="I43" s="97"/>
      <c r="J43" s="98"/>
    </row>
    <row r="44" spans="2:10" ht="12" customHeight="1">
      <c r="B44" s="90"/>
      <c r="C44" s="91"/>
      <c r="D44" s="91"/>
      <c r="E44" s="91"/>
      <c r="F44" s="91"/>
      <c r="G44" s="91"/>
      <c r="H44" s="91"/>
      <c r="I44" s="91"/>
      <c r="J44" s="92"/>
    </row>
    <row r="46" spans="2:10" ht="12.75">
      <c r="B46" s="81"/>
      <c r="C46" s="82"/>
      <c r="D46" s="82"/>
      <c r="E46" s="82"/>
      <c r="F46" s="82"/>
      <c r="G46" s="82"/>
      <c r="H46" s="82"/>
      <c r="I46" s="82"/>
      <c r="J46" s="83"/>
    </row>
    <row r="47" spans="2:10" ht="15">
      <c r="B47" s="84"/>
      <c r="C47" s="216" t="s">
        <v>60</v>
      </c>
      <c r="D47" s="216"/>
      <c r="E47" s="216"/>
      <c r="F47" s="216"/>
      <c r="G47" s="216"/>
      <c r="H47" s="216"/>
      <c r="I47" s="85"/>
      <c r="J47" s="86"/>
    </row>
    <row r="48" spans="2:10" ht="12.75">
      <c r="B48" s="84"/>
      <c r="C48" s="71"/>
      <c r="D48" s="85"/>
      <c r="E48" s="85"/>
      <c r="F48" s="85"/>
      <c r="G48" s="85"/>
      <c r="H48" s="85"/>
      <c r="I48" s="85"/>
      <c r="J48" s="86"/>
    </row>
    <row r="49" spans="2:10" ht="12.75">
      <c r="B49" s="84"/>
      <c r="C49" s="222" t="s">
        <v>638</v>
      </c>
      <c r="D49" s="223"/>
      <c r="E49" s="223"/>
      <c r="F49" s="223"/>
      <c r="G49" s="223"/>
      <c r="H49" s="223"/>
      <c r="I49" s="223"/>
      <c r="J49" s="224"/>
    </row>
    <row r="50" spans="2:10" ht="12.75">
      <c r="B50" s="84"/>
      <c r="C50" s="210" t="s">
        <v>639</v>
      </c>
      <c r="D50" s="211"/>
      <c r="E50" s="211"/>
      <c r="F50" s="211"/>
      <c r="G50" s="211"/>
      <c r="H50" s="211"/>
      <c r="I50" s="211"/>
      <c r="J50" s="212"/>
    </row>
    <row r="51" spans="2:10" ht="12.75">
      <c r="B51" s="84"/>
      <c r="C51" s="73" t="s">
        <v>640</v>
      </c>
      <c r="D51" s="87"/>
      <c r="E51" s="87"/>
      <c r="F51" s="87"/>
      <c r="G51" s="87"/>
      <c r="H51" s="87"/>
      <c r="I51" s="87"/>
      <c r="J51" s="86"/>
    </row>
    <row r="52" spans="2:10" ht="12.75">
      <c r="B52" s="84"/>
      <c r="C52" s="73" t="s">
        <v>641</v>
      </c>
      <c r="D52" s="87"/>
      <c r="E52" s="87"/>
      <c r="F52" s="87"/>
      <c r="G52" s="87"/>
      <c r="H52" s="87"/>
      <c r="I52" s="87"/>
      <c r="J52" s="86"/>
    </row>
    <row r="53" spans="2:10" ht="12.75">
      <c r="B53" s="84"/>
      <c r="C53" s="87"/>
      <c r="D53" s="87" t="s">
        <v>417</v>
      </c>
      <c r="E53" s="87"/>
      <c r="F53" s="87"/>
      <c r="G53" s="87"/>
      <c r="H53" s="87"/>
      <c r="I53" s="87"/>
      <c r="J53" s="86"/>
    </row>
    <row r="54" spans="2:10" ht="13.5" customHeight="1">
      <c r="B54" s="84"/>
      <c r="C54" s="73" t="s">
        <v>642</v>
      </c>
      <c r="D54" s="87"/>
      <c r="E54" s="87"/>
      <c r="F54" s="87"/>
      <c r="G54" s="87"/>
      <c r="H54" s="87"/>
      <c r="I54" s="87"/>
      <c r="J54" s="86"/>
    </row>
    <row r="55" spans="2:10" ht="12.75">
      <c r="B55" s="84"/>
      <c r="C55" s="87"/>
      <c r="D55" s="87"/>
      <c r="E55" s="87"/>
      <c r="F55" s="87"/>
      <c r="G55" s="87"/>
      <c r="H55" s="87"/>
      <c r="I55" s="87"/>
      <c r="J55" s="86"/>
    </row>
    <row r="56" spans="2:10" ht="12.75">
      <c r="B56" s="84"/>
      <c r="C56" s="99" t="s">
        <v>414</v>
      </c>
      <c r="D56" s="87"/>
      <c r="E56" s="87"/>
      <c r="F56" s="87"/>
      <c r="G56" s="87"/>
      <c r="H56" s="87"/>
      <c r="I56" s="87"/>
      <c r="J56" s="86"/>
    </row>
    <row r="57" spans="2:10" ht="12.75">
      <c r="B57" s="84"/>
      <c r="C57" s="87" t="s">
        <v>411</v>
      </c>
      <c r="D57" s="87"/>
      <c r="E57" s="87"/>
      <c r="F57" s="87"/>
      <c r="G57" s="87"/>
      <c r="H57" s="87"/>
      <c r="I57" s="87"/>
      <c r="J57" s="86"/>
    </row>
    <row r="58" spans="2:10" ht="12.75">
      <c r="B58" s="84"/>
      <c r="C58" s="87"/>
      <c r="D58" s="87"/>
      <c r="E58" s="87"/>
      <c r="F58" s="87"/>
      <c r="G58" s="87"/>
      <c r="H58" s="87"/>
      <c r="I58" s="87"/>
      <c r="J58" s="86"/>
    </row>
    <row r="59" spans="2:10" ht="16.5" customHeight="1">
      <c r="B59" s="84"/>
      <c r="C59" s="71" t="s">
        <v>403</v>
      </c>
      <c r="D59" s="87"/>
      <c r="E59" s="87"/>
      <c r="F59" s="89" t="s">
        <v>636</v>
      </c>
      <c r="G59" s="87"/>
      <c r="H59" s="87"/>
      <c r="I59" s="87"/>
      <c r="J59" s="86"/>
    </row>
    <row r="60" spans="2:10" ht="12.75">
      <c r="B60" s="84"/>
      <c r="C60" s="85"/>
      <c r="D60" s="85"/>
      <c r="E60" s="85"/>
      <c r="F60" s="85"/>
      <c r="G60" s="85"/>
      <c r="H60" s="85"/>
      <c r="I60" s="85"/>
      <c r="J60" s="86"/>
    </row>
    <row r="61" spans="2:10" ht="16.5" customHeight="1">
      <c r="B61" s="84"/>
      <c r="C61" s="73" t="s">
        <v>637</v>
      </c>
      <c r="D61" s="97"/>
      <c r="E61" s="97"/>
      <c r="F61" s="89" t="s">
        <v>635</v>
      </c>
      <c r="G61" s="97"/>
      <c r="H61" s="97"/>
      <c r="I61" s="97"/>
      <c r="J61" s="98"/>
    </row>
    <row r="62" spans="2:10" ht="21" customHeight="1">
      <c r="B62" s="84"/>
      <c r="C62" s="87"/>
      <c r="D62" s="87"/>
      <c r="E62" s="87"/>
      <c r="F62" s="89" t="s">
        <v>634</v>
      </c>
      <c r="G62" s="87"/>
      <c r="H62" s="87"/>
      <c r="I62" s="87"/>
      <c r="J62" s="86"/>
    </row>
    <row r="63" spans="2:10" ht="12.75">
      <c r="B63" s="84"/>
      <c r="C63" s="71" t="s">
        <v>422</v>
      </c>
      <c r="D63" s="87"/>
      <c r="E63" s="87"/>
      <c r="F63" s="71"/>
      <c r="G63" s="87"/>
      <c r="H63" s="87"/>
      <c r="I63" s="87"/>
      <c r="J63" s="86"/>
    </row>
    <row r="64" spans="2:10" ht="27" customHeight="1">
      <c r="B64" s="84"/>
      <c r="C64" s="71" t="s">
        <v>420</v>
      </c>
      <c r="D64" s="99"/>
      <c r="E64" s="87"/>
      <c r="F64" s="87"/>
      <c r="G64" s="87"/>
      <c r="H64" s="87"/>
      <c r="I64" s="87"/>
      <c r="J64" s="86"/>
    </row>
    <row r="65" spans="2:10" ht="12.75">
      <c r="B65" s="84"/>
      <c r="C65" s="87" t="s">
        <v>434</v>
      </c>
      <c r="D65" s="99"/>
      <c r="E65" s="87"/>
      <c r="F65" s="87"/>
      <c r="G65" s="87"/>
      <c r="H65" s="87"/>
      <c r="I65" s="87"/>
      <c r="J65" s="86"/>
    </row>
    <row r="66" spans="2:10" ht="12.75">
      <c r="B66" s="84"/>
      <c r="C66" s="87" t="s">
        <v>412</v>
      </c>
      <c r="D66" s="99" t="s">
        <v>421</v>
      </c>
      <c r="E66" s="87"/>
      <c r="F66" s="87"/>
      <c r="G66" s="87"/>
      <c r="H66" s="87"/>
      <c r="I66" s="87"/>
      <c r="J66" s="86"/>
    </row>
    <row r="67" spans="2:10" ht="12.75">
      <c r="B67" s="84"/>
      <c r="C67" s="87"/>
      <c r="D67" s="99"/>
      <c r="E67" s="87"/>
      <c r="F67" s="87"/>
      <c r="G67" s="87"/>
      <c r="H67" s="87"/>
      <c r="I67" s="87"/>
      <c r="J67" s="86"/>
    </row>
    <row r="68" spans="2:10" ht="25.5" customHeight="1">
      <c r="B68" s="84"/>
      <c r="C68" s="214" t="s">
        <v>433</v>
      </c>
      <c r="D68" s="214"/>
      <c r="E68" s="214"/>
      <c r="F68" s="214"/>
      <c r="G68" s="214"/>
      <c r="H68" s="214"/>
      <c r="I68" s="85"/>
      <c r="J68" s="86"/>
    </row>
    <row r="69" spans="2:10" ht="38.25" customHeight="1">
      <c r="B69" s="84"/>
      <c r="C69" s="214" t="s">
        <v>418</v>
      </c>
      <c r="D69" s="214"/>
      <c r="E69" s="214"/>
      <c r="F69" s="214"/>
      <c r="G69" s="214"/>
      <c r="H69" s="214"/>
      <c r="I69" s="87"/>
      <c r="J69" s="86"/>
    </row>
    <row r="70" spans="2:10" ht="12.75">
      <c r="B70" s="84"/>
      <c r="C70" s="87"/>
      <c r="D70" s="87"/>
      <c r="E70" s="87"/>
      <c r="F70" s="87"/>
      <c r="G70" s="87"/>
      <c r="H70" s="87"/>
      <c r="I70" s="87"/>
      <c r="J70" s="86"/>
    </row>
    <row r="71" spans="2:10" ht="27" customHeight="1">
      <c r="B71" s="84"/>
      <c r="C71" s="71" t="s">
        <v>422</v>
      </c>
      <c r="D71" s="85"/>
      <c r="E71" s="85"/>
      <c r="F71" s="85"/>
      <c r="G71" s="85"/>
      <c r="H71" s="85"/>
      <c r="I71" s="87"/>
      <c r="J71" s="86"/>
    </row>
    <row r="72" spans="2:10" ht="24.75" customHeight="1">
      <c r="B72" s="84"/>
      <c r="C72" s="213" t="s">
        <v>439</v>
      </c>
      <c r="D72" s="213"/>
      <c r="E72" s="213"/>
      <c r="F72" s="213"/>
      <c r="G72" s="213"/>
      <c r="H72" s="213"/>
      <c r="I72" s="87"/>
      <c r="J72" s="86"/>
    </row>
    <row r="73" spans="2:10" ht="12.75">
      <c r="B73" s="90"/>
      <c r="C73" s="91"/>
      <c r="D73" s="91"/>
      <c r="E73" s="91"/>
      <c r="F73" s="91"/>
      <c r="G73" s="91"/>
      <c r="H73" s="91"/>
      <c r="I73" s="91"/>
      <c r="J73" s="92"/>
    </row>
  </sheetData>
  <sheetProtection password="CF66" sheet="1" objects="1" scenarios="1"/>
  <mergeCells count="18">
    <mergeCell ref="C1:L1"/>
    <mergeCell ref="C43:H43"/>
    <mergeCell ref="C49:J49"/>
    <mergeCell ref="D3:G3"/>
    <mergeCell ref="C6:H6"/>
    <mergeCell ref="D30:J30"/>
    <mergeCell ref="C38:D39"/>
    <mergeCell ref="C23:H23"/>
    <mergeCell ref="C50:J50"/>
    <mergeCell ref="C72:H72"/>
    <mergeCell ref="C68:H68"/>
    <mergeCell ref="C12:I12"/>
    <mergeCell ref="C69:H69"/>
    <mergeCell ref="C47:H47"/>
    <mergeCell ref="C27:H27"/>
    <mergeCell ref="C33:H33"/>
    <mergeCell ref="C29:I29"/>
    <mergeCell ref="C19:D20"/>
  </mergeCells>
  <printOptions/>
  <pageMargins left="0.75" right="0.75" top="1" bottom="1" header="0.5" footer="0.5"/>
  <pageSetup horizontalDpi="600" verticalDpi="600" orientation="portrait" paperSize="9" scale="68" r:id="rId8"/>
  <drawing r:id="rId7"/>
  <legacyDrawing r:id="rId6"/>
  <oleObjects>
    <oleObject progId="Photoshop.Image.9" shapeId="1539564" r:id="rId1"/>
    <oleObject progId="Photoshop.Image.9" shapeId="1539563" r:id="rId2"/>
    <oleObject progId="Photoshop.Image.9" shapeId="1539562" r:id="rId3"/>
    <oleObject progId="Photoshop.Image.9" shapeId="1539560" r:id="rId4"/>
    <oleObject progId="Photoshop.Image.9" shapeId="1539559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tdm64</cp:lastModifiedBy>
  <cp:lastPrinted>2018-10-17T08:00:37Z</cp:lastPrinted>
  <dcterms:created xsi:type="dcterms:W3CDTF">1996-10-08T23:32:33Z</dcterms:created>
  <dcterms:modified xsi:type="dcterms:W3CDTF">2018-10-29T06:43:40Z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